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Инвест.программы" sheetId="1" r:id="rId1"/>
  </sheets>
  <definedNames>
    <definedName name="_xlnm.Print_Titles" localSheetId="0">'Инвест.программы'!$12:$14</definedName>
    <definedName name="_xlnm.Print_Area" localSheetId="0">'Инвест.программы'!$A$1:$I$153</definedName>
  </definedNames>
  <calcPr fullCalcOnLoad="1"/>
</workbook>
</file>

<file path=xl/sharedStrings.xml><?xml version="1.0" encoding="utf-8"?>
<sst xmlns="http://schemas.openxmlformats.org/spreadsheetml/2006/main" count="565" uniqueCount="304">
  <si>
    <t>(наименование субъекта естественных монополий)</t>
  </si>
  <si>
    <t>в сфере оказания услуг по транспортировке газа по газораспределительным сетям</t>
  </si>
  <si>
    <t>№ № пунктов</t>
  </si>
  <si>
    <t>Наименование показателя</t>
  </si>
  <si>
    <t>Сроки строительства</t>
  </si>
  <si>
    <t>Стоимостная оценка инвестиций , тыс. руб.</t>
  </si>
  <si>
    <t>Основные проектные характеристики объектов капитального строительства</t>
  </si>
  <si>
    <t>начало</t>
  </si>
  <si>
    <t>окончание</t>
  </si>
  <si>
    <t>в целом по объекту</t>
  </si>
  <si>
    <t>в отчетном периоде</t>
  </si>
  <si>
    <t>протяженность линейной трубопроводов, км</t>
  </si>
  <si>
    <t xml:space="preserve">диаметр (диапазон диаметров) трубопроводов, мм </t>
  </si>
  <si>
    <t>количество газорегуляторных пунктов, ед.</t>
  </si>
  <si>
    <t>Общая сумма инвестиций</t>
  </si>
  <si>
    <t>1.1.</t>
  </si>
  <si>
    <t>Сведения о строительстве, реконструкции объектов капитального строительства</t>
  </si>
  <si>
    <t>1.1.1.</t>
  </si>
  <si>
    <t>новые объекты</t>
  </si>
  <si>
    <t>газопроводы, в т.ч.:</t>
  </si>
  <si>
    <t>газопроводы (спецнадбавка)</t>
  </si>
  <si>
    <t>газопроводы (прочие)</t>
  </si>
  <si>
    <t>телеметрия ГРП и ЭЗУ</t>
  </si>
  <si>
    <t>здания*</t>
  </si>
  <si>
    <t>1.1.2.</t>
  </si>
  <si>
    <t xml:space="preserve">реконструируемые (модернизируемые) объекты </t>
  </si>
  <si>
    <t>газопроводы, ГРП, ШРП</t>
  </si>
  <si>
    <t>1.2.</t>
  </si>
  <si>
    <t xml:space="preserve">Сведения о долгосрочных финансовых вложениях </t>
  </si>
  <si>
    <t>1.3.</t>
  </si>
  <si>
    <t xml:space="preserve">Сведения о приобретении внеоборотных активов </t>
  </si>
  <si>
    <t>1.3.1.</t>
  </si>
  <si>
    <t>газопроводы</t>
  </si>
  <si>
    <t>1.3.2.</t>
  </si>
  <si>
    <t>зем. участки*</t>
  </si>
  <si>
    <t>1.3.3.</t>
  </si>
  <si>
    <t>легковой автотранспорт*</t>
  </si>
  <si>
    <t>1.3.4.</t>
  </si>
  <si>
    <t>компьютеры, оргтехника, ср-ва связи,охр.сист.*</t>
  </si>
  <si>
    <t>1.3.5.</t>
  </si>
  <si>
    <t>оборудование для эксплуатации газ.хоз-ва</t>
  </si>
  <si>
    <t>* - в инвестиционную программу включены затраты в части транспортировки природного газа</t>
  </si>
  <si>
    <t>Примечание: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</si>
  <si>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</si>
  <si>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</si>
  <si>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</si>
  <si>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</si>
  <si>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>Информация об инвестиционных программах ОАО "Газпром газораспределение Воронеж" за 2015 год</t>
  </si>
  <si>
    <t>1.1.1.01</t>
  </si>
  <si>
    <t>газопровод высокого давления от с.Юрасовка Ольховатского района до с.Татарино Каменского района</t>
  </si>
  <si>
    <t>4кв.14г.</t>
  </si>
  <si>
    <t>4кв.15г.</t>
  </si>
  <si>
    <t>1.1.1.02</t>
  </si>
  <si>
    <t>Газопровод высокого давления от АГРС с.Никольское до с.Воробьёвка Воробьевского района</t>
  </si>
  <si>
    <t>1кв.16г.</t>
  </si>
  <si>
    <t>1.1.1.03</t>
  </si>
  <si>
    <t>Газораспределительные сети к восточному микрорайону г.Лиски Лискинского района</t>
  </si>
  <si>
    <t>1кв.13г.</t>
  </si>
  <si>
    <t>1кв.15г.</t>
  </si>
  <si>
    <t>1.1.1.04</t>
  </si>
  <si>
    <t>Межпоселковый газопровод высокого давления до с.Грушовое Богучарского района</t>
  </si>
  <si>
    <t>2кв.15г.</t>
  </si>
  <si>
    <t>3кв.15г.</t>
  </si>
  <si>
    <t>1.1.1.05</t>
  </si>
  <si>
    <t>Газопровод высокого давления с установкой ШРП "Ломовского парка" Воробьёвского района</t>
  </si>
  <si>
    <t>1.1.1.06</t>
  </si>
  <si>
    <t>Газопровод высокого давления для газоснабжения х.Николенков Калачеевского района</t>
  </si>
  <si>
    <t>1.1.1.07</t>
  </si>
  <si>
    <t>Газопровод высокого давления для газоснабжения х.Гаранькин, х.Гринев Калачеевского района</t>
  </si>
  <si>
    <t>1.1.1.08</t>
  </si>
  <si>
    <t>Газораспределительные сети по ул.Краснознаменной-2 с.Новая Усмань Новоусманского муниципального района Воронежской области</t>
  </si>
  <si>
    <t>63,90,160,225</t>
  </si>
  <si>
    <t>1.1.1.09</t>
  </si>
  <si>
    <t>Газопровод среднего давления с установкой ШРП в п.Сибирский Острогожского района</t>
  </si>
  <si>
    <t>1.1.1.10</t>
  </si>
  <si>
    <t xml:space="preserve">Межпоселковый распределительный газопровод высокого давления к п. Хлебороб, распределительных газовых сетей п.Хлебороб Таловского  района Воронежской области                    </t>
  </si>
  <si>
    <t>1.1.1.11</t>
  </si>
  <si>
    <t>Межпоселковый газопровод высокого давления от с.Кисельное до п.Луночаровка с отводом к п.Александровка, п.Вознесеновка Терновского муниципального района</t>
  </si>
  <si>
    <t>1.1.1.12</t>
  </si>
  <si>
    <t>Газопровод высокого давления с заменой отключающего устройства по  ул.Новикова г.Воронеж</t>
  </si>
  <si>
    <t>1.1.1.13</t>
  </si>
  <si>
    <t>Газопровод высокого и низкого давления для развития инфраструктуры перспективной застройки в районе юношеской спортивной школы на ПК 9+060</t>
  </si>
  <si>
    <t>57, 63, 108</t>
  </si>
  <si>
    <t>1.1.1.14</t>
  </si>
  <si>
    <t>Газопровод высокого давления от ГРС-1 п.Придонской до места врезки газопровода-отвода к ГГРП №239 по ул.Л.Шевцовой г.Воронеж</t>
  </si>
  <si>
    <t>2кв.16г.</t>
  </si>
  <si>
    <t>1.1.1.15</t>
  </si>
  <si>
    <t xml:space="preserve">Газопровод высокого давления  от существующего газопровода  до ПЖСК "Учитель" с установкой ГРПШ г.Воронеж,ул.Московский пр.,142у       </t>
  </si>
  <si>
    <t>4кв.16г.</t>
  </si>
  <si>
    <t>2кв.17г.</t>
  </si>
  <si>
    <t>1.1.1.16</t>
  </si>
  <si>
    <t xml:space="preserve">Газопровод низкого давления г. Воронеж Правобережное Лесничество - ж.м. Лесная Поляна </t>
  </si>
  <si>
    <t>1.1.1.17</t>
  </si>
  <si>
    <t>Газопровод высокого и среднего давления с установкой ШРП ул. Космонавтов, 23, г. Воронеж</t>
  </si>
  <si>
    <t>159, 325</t>
  </si>
  <si>
    <t>1.1.1.18</t>
  </si>
  <si>
    <t>Газопровод высокого и низкого давления с установкой ШРП пер.Попутный, г.Воронеж</t>
  </si>
  <si>
    <t xml:space="preserve"> 4кв.14г.</t>
  </si>
  <si>
    <t>57, 102</t>
  </si>
  <si>
    <t>1.1.1.19</t>
  </si>
  <si>
    <t>Газопровод высокого давления  проспект Патриотов г.Воронеж</t>
  </si>
  <si>
    <t>1.1.1.20</t>
  </si>
  <si>
    <t>газопровод низкого давления ул.Конно-Стрелецкой с пер.Штурмовым и ул.5 Декабря  г.Воронеж</t>
  </si>
  <si>
    <t xml:space="preserve"> 2кв.15г.</t>
  </si>
  <si>
    <t>1.1.1.21</t>
  </si>
  <si>
    <t>Газопровод среднего и низкого давления с установкой ШРП по ул.Серафимовича,41-43 г.Воронеж</t>
  </si>
  <si>
    <t>159, 57</t>
  </si>
  <si>
    <t>1.1.1.22</t>
  </si>
  <si>
    <t>Газопровод высокого и низкого давления с установкой ШРП ул.Советская пер.Краснознаменный,ул.Январская г.Россошь</t>
  </si>
  <si>
    <t>108, 110, 57</t>
  </si>
  <si>
    <t>1.1.1.23</t>
  </si>
  <si>
    <t>Газопровод низкого давления от ШРП микрорайона Южный по ул.8 Марта г.Россошь</t>
  </si>
  <si>
    <t>108, 110, 63</t>
  </si>
  <si>
    <t>3кв.16г.</t>
  </si>
  <si>
    <t>1.1.1.24</t>
  </si>
  <si>
    <t>1.1.1.25</t>
  </si>
  <si>
    <t>Газопровод высокого  и низкого давления с установкой ШРП к котельным филиала ОАО "Газпром газораспределение Воронеж" в п.г.т. Анна ул. Гнездилова,106</t>
  </si>
  <si>
    <t>Газопровод среднего и низкого давления с ШРП, ул. Карла Маркса с.Коротояк - ул. Спортивная с. Покровка Острогожского района</t>
  </si>
  <si>
    <t>89, 57</t>
  </si>
  <si>
    <t xml:space="preserve">газопровод 21А № 348у Дорожная ул., Газовая газопровод от ГРП через ж.д., г. Воронеж, инвентарный номер 01.00.0.0000060324 </t>
  </si>
  <si>
    <t xml:space="preserve"> -</t>
  </si>
  <si>
    <t>газопровод 39А №11 у Свободы ул., от ж/д моста д. 83 ул. 9 Января до ул. Космонавтов, г. Воронеж, инв. № 01.00.0.0000059729</t>
  </si>
  <si>
    <t xml:space="preserve">        -</t>
  </si>
  <si>
    <t xml:space="preserve">газопровод 3А № 24-У Ленинский пр-т, от ТЭЦ №1 до плавательного бассейна, г. Воронеж, инвентарный номер 01.00.0.0000058406 </t>
  </si>
  <si>
    <t xml:space="preserve">      -</t>
  </si>
  <si>
    <t>газопровод 86А № 629 у Беговая ул., Народная ул., Строителей, Брянский проезд, г. Воронеж, инвентарный номер 01.00.0.0000056951</t>
  </si>
  <si>
    <t xml:space="preserve">газопровод 12А № 40у з-д Дзержинского ул. Свердлова, ул. Урицкого, ул. Чернышова, г. Воронеж,  инвентарный номер 01.00.0.0000057124 </t>
  </si>
  <si>
    <t xml:space="preserve">газопровод 3А №114- у  Свободы ул. от Революции 1905 г ул. до Ф. Энгельса ул. , г. Воронеж, инвентарный номер 01.00.0.0000059400 </t>
  </si>
  <si>
    <t xml:space="preserve">газопровод 2А № 155-у Острогожская ул., (от Матросова до бензоколонки), инв. № 01.00.0000058894 </t>
  </si>
  <si>
    <t>Газопровод высокого давления  г. Лиски, ул. 40 лет Октября к МЭЗу инв. 10.00.0.0000020071</t>
  </si>
  <si>
    <t xml:space="preserve">газопровод низкого давления Семилукского район, с. Девица, ул. Танкистов от ГРП до мех.мастерских (36АВ639495 лит 2А) инвентарный номер 26.00.0.6078 </t>
  </si>
  <si>
    <t>Газопровод низкого давления к/з Октябрьской революции Семилукского района, ЭЗУ (36АБ234281 лит. 2А) инвентарный номер 26.00.0.1736</t>
  </si>
  <si>
    <t xml:space="preserve">газопровод 67А № 780-у Ямное с., г. Воронеж, перемычка,  инвентарный номер 01.00.0.0000057527 </t>
  </si>
  <si>
    <t xml:space="preserve">газопровод высокого давления ул. Войкова до ГРП ул. Кооперативная г. Россошь подз. Инвентарный номер 17.00.0.0205 </t>
  </si>
  <si>
    <t>Газопровод высокого давления ул. Гоголя, ул. Красноармейская, пер. Красный г. Россошь, инвентарный номер 17.00.0.0223</t>
  </si>
  <si>
    <t xml:space="preserve">Газопровод высокого и низкого давления  ул. Василевского, г. Россошь до ШРП № 4 подз. , инвентарный номер 17.00.0.08287. </t>
  </si>
  <si>
    <t xml:space="preserve">Газопровод высокого давления р.п. Хохольский, ул. Колхозная, ШРП № 27, инвентарный номер 25.00.0.0000001112 </t>
  </si>
  <si>
    <t>Газопровод высокого давления  ул.Крупской г.Россошь от ГРП №1  до ГРП №2  Россошанского района,инвентарный номер 17.00.0.0204</t>
  </si>
  <si>
    <t xml:space="preserve">ГРП юго-восточная часть кадастрового квартала г. Боброва, инвентарный номер 04.00.0.0000002267 </t>
  </si>
  <si>
    <t>ГРП юго восточная часть кадастрового квартала г. Боброва, инвентарный номер 04.00.0.0000002267</t>
  </si>
  <si>
    <t xml:space="preserve">ГРП ул. Чапаева, д.65 с. Хреновое Бобровского района инв. № 04.00.0.0000002272 </t>
  </si>
  <si>
    <t xml:space="preserve"> ШРП пос.Стрелица ул.Центральная,50 Семилукского района, инвентарный номер 26.00.0.4010</t>
  </si>
  <si>
    <t xml:space="preserve">  ГРП №15  г.Россошь  ул.Л.Толстого  Россошь Россошанского района, инвентарный номер 17.00.0.1228</t>
  </si>
  <si>
    <t xml:space="preserve">  ГРП №1  п.Орловка ул.Спортивная Хохольского  района, инвентарный номер 25.00.0.0000001189</t>
  </si>
  <si>
    <t xml:space="preserve">  ГРП №104  ул.Пирогова,50 г.Воронеж, инвентарный номер 01.00.0.0000059677</t>
  </si>
  <si>
    <t xml:space="preserve"> ГРП №63  ул.Артамонова,12 г.Воронеж, инвентарный номер 01.00.0.00000 56556</t>
  </si>
  <si>
    <t xml:space="preserve">  ПГБ №3  в санатории им.Цюрупы Лискинского района, инвентарный номер 10.00.0.0000041046</t>
  </si>
  <si>
    <t xml:space="preserve">  ГРП №87 по ул.Машиностроителей,58р г.Воронеж, инвентарный номер 01.00.0.0000056996</t>
  </si>
  <si>
    <t xml:space="preserve"> ГРП №159 по ул.Новгородская,125 г.Воронеж, инвентарный номер 01.00.0.0000056953</t>
  </si>
  <si>
    <t xml:space="preserve"> ГРП № 67/8 глв по ул.Хользунова,42р г.Воронеж, инвентарный номер 01.00.0000057639</t>
  </si>
  <si>
    <t>газопровод стальной ул. Космонавтов пос. Пригородный Калачеевского района от АГРС до ГРП инв. № 008.00.0.0000000006</t>
  </si>
  <si>
    <t>газопровод высокого давления подземный наземный стальной ул. Советская ул.Прибольничная, г. Калач, инв № 08.00.0.0000000034</t>
  </si>
  <si>
    <t>1.1.2.01</t>
  </si>
  <si>
    <t>1.1.2.02</t>
  </si>
  <si>
    <t>1.1.2.03</t>
  </si>
  <si>
    <t>1.1.2.04</t>
  </si>
  <si>
    <t>1.1.2.06</t>
  </si>
  <si>
    <t>1.1.2.07</t>
  </si>
  <si>
    <t>1.1.2.08</t>
  </si>
  <si>
    <t>1.1.2.09</t>
  </si>
  <si>
    <t>1.1.2.10</t>
  </si>
  <si>
    <t>1.1.2.11</t>
  </si>
  <si>
    <t>1.1.2.12</t>
  </si>
  <si>
    <t>1.1.2.13</t>
  </si>
  <si>
    <t>1.1.2.14</t>
  </si>
  <si>
    <t>1.1.2.15</t>
  </si>
  <si>
    <t>1.1.2.16</t>
  </si>
  <si>
    <t>1.1.2.17</t>
  </si>
  <si>
    <t>1.1.2.18</t>
  </si>
  <si>
    <t>1.1.2.19</t>
  </si>
  <si>
    <t>1.1.2.20</t>
  </si>
  <si>
    <t>1.1.2.21</t>
  </si>
  <si>
    <t>1.1.2.22</t>
  </si>
  <si>
    <t>1.1.2.23</t>
  </si>
  <si>
    <t>1.1.2.24</t>
  </si>
  <si>
    <t>1.1.2.25</t>
  </si>
  <si>
    <t>1.1.2.26</t>
  </si>
  <si>
    <t>1.1.2.27</t>
  </si>
  <si>
    <t>1.1.2.28</t>
  </si>
  <si>
    <t>1.1.2.29</t>
  </si>
  <si>
    <t>1.1.2.30</t>
  </si>
  <si>
    <t>1.1.2.31</t>
  </si>
  <si>
    <t>1.1.2.32</t>
  </si>
  <si>
    <t>4 кв.16г.</t>
  </si>
  <si>
    <t>1.1.2.33</t>
  </si>
  <si>
    <t>1.1.2.34</t>
  </si>
  <si>
    <t>1.1.2.35</t>
  </si>
  <si>
    <t>1.1.2.36</t>
  </si>
  <si>
    <t>1.1.2.37</t>
  </si>
  <si>
    <t>1.1.2.38</t>
  </si>
  <si>
    <t>1.1.2.05</t>
  </si>
  <si>
    <t>газопровод с. Ямное Рамонского района ГРС Ямное- с. Новоживотинное, инвентарный номер 03.00.0.100000122</t>
  </si>
  <si>
    <t>Газопровод высокого и низкого давления до ГРП №1 ул.Кирова р.п.Подгоренский инв №29.00.0.0000000228</t>
  </si>
  <si>
    <t>Газопровод высокого и низкого давления Стройкомплекс инв №29.00.0.0000000224</t>
  </si>
  <si>
    <t>Газопровод межпоселковый к селу Тхоревка инв.00.00.0.000205131-1</t>
  </si>
  <si>
    <t>Газопровод и ШРП г. Лиски, ул.Индустриальная,4 Инв. № 10.00.0.0000020163</t>
  </si>
  <si>
    <t>Газопровод в/н/д Хлебозавод г.Лиски инв.№ 10.000.0.0000020088</t>
  </si>
  <si>
    <t>110, 63,108, 57</t>
  </si>
  <si>
    <r>
      <t>Газопровод высокого давления с установкой ГРП№1,</t>
    </r>
    <r>
      <rPr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ул.Василевского,52б г.Россошь от ГРС до ГРП №1  Россошанского района,инвентарный номер 17.00.0.0203</t>
    </r>
  </si>
  <si>
    <t xml:space="preserve">ГРП № 29 с.Волошино пл.35.3кв.м (ю/в часть в 10м с прав.стор.а/д Остр-Вол.),Газопроводы L 81 482.28м инвентарный номер №14.00.0.ОСЖ010138 </t>
  </si>
  <si>
    <t>ШРП №111 Машиностроителей ул.,18 (ШРП) г.Воронеж, инвентарный номер №01.00.0.0000057039</t>
  </si>
  <si>
    <t>ШРП №370 Апраксина ул.,Новый пос.Подгорное пос. (ШРП) г.Воронеж, инвентарный номер № 01.00.0.0000061726</t>
  </si>
  <si>
    <t>ШРП №42 Ипподромная ул.,51 (ШРП)  г.Воронеж, инвентарный номер №01.00.0.0000061659</t>
  </si>
  <si>
    <t>1А №238 ГРП Ленинский пр-т, 63 г.Воронеж, инв. № 01.00.0.0000058071</t>
  </si>
  <si>
    <t>104А №239 ГРП Шевцовой ул., 4 г.Воронеж, инв №01.00.0.0000060203</t>
  </si>
  <si>
    <t>27А №141 ГРП Новгородская ул., 61 г.Воронеж инв. № 01.00.0.0000056881</t>
  </si>
  <si>
    <t>1А №197 ГРП Чапаева ул., 74 г.Воронеж инв. № 01.00.0.0000059112</t>
  </si>
  <si>
    <t>ГРП Рефдепо 1шт г.Лиски ул.Плеханова инв.№10.00.0.0000041030</t>
  </si>
  <si>
    <t>1.1.2.39</t>
  </si>
  <si>
    <t>1.1.2.40</t>
  </si>
  <si>
    <t>1.1.2.41</t>
  </si>
  <si>
    <t>1.1.2.42</t>
  </si>
  <si>
    <t>1.1.2.43</t>
  </si>
  <si>
    <t>1.1.2.44</t>
  </si>
  <si>
    <t>1.1.2.45</t>
  </si>
  <si>
    <t>1.1.2.46</t>
  </si>
  <si>
    <t>225, 160,90,63</t>
  </si>
  <si>
    <t>1.1.3.01</t>
  </si>
  <si>
    <t xml:space="preserve"> производственная площадка для автотранспорта по адресу: г. Воронеж, ул. Чебышева, 28"е"</t>
  </si>
  <si>
    <t>1.1.3.02</t>
  </si>
  <si>
    <t xml:space="preserve"> производственная база , г. Воронеж, ул. Дубровина,19 а</t>
  </si>
  <si>
    <t>1.1.3.04</t>
  </si>
  <si>
    <t>1.1.3.05</t>
  </si>
  <si>
    <t>Металлический склад,п.г.т. Грибановский,ул. Толстого,6</t>
  </si>
  <si>
    <t>1.1.3.06</t>
  </si>
  <si>
    <t>1.1.3.07</t>
  </si>
  <si>
    <t>Металлический навес г. Богучар, ул. Транспортная, 46</t>
  </si>
  <si>
    <t>1.1.3.08</t>
  </si>
  <si>
    <t>Металлический склад г. Богучар, ул. Транспортная, 46</t>
  </si>
  <si>
    <t>1.1.4.01</t>
  </si>
  <si>
    <t>Система периметрального видеонаблюдения м- рн Сомово, ул. Кузнецова,11</t>
  </si>
  <si>
    <t>2.3.1.01</t>
  </si>
  <si>
    <t>Административное здание, лит 1А (инв. №01.00.0.0000000328), г. Воронеж, ул. Бакунина, дом № 2А</t>
  </si>
  <si>
    <t>2.3.1.02</t>
  </si>
  <si>
    <t>Административное здание , лит 1А, 1Б, 1В,4 (инв. №01.00.0.0000000336), г. Воронеж, ул. Бакунина, дом № 2А</t>
  </si>
  <si>
    <t>2.3.1.03</t>
  </si>
  <si>
    <t>Административное здание г.Воронеж,ул. Беговая,215 инв.№01.00.0.0000000335</t>
  </si>
  <si>
    <t>2.3.1.04</t>
  </si>
  <si>
    <t>Административное здание г.Воронеж,пер.Краснознаменный,4 инв.№01.00.0.0000000604</t>
  </si>
  <si>
    <t>2.3.1.05</t>
  </si>
  <si>
    <t xml:space="preserve">Гараж, лит Г, Г1, Г2, В (инв №01.00.0.0000000322) г. Воронеж ул. Конструкторов, дом № 82 </t>
  </si>
  <si>
    <t>2.3.1.06</t>
  </si>
  <si>
    <t>Склад в административно-производственном здании г. Воронеж, ул. Конструкторов, 82 инв.№01.00.0.0000000330</t>
  </si>
  <si>
    <t>2.3.1.07</t>
  </si>
  <si>
    <t>2.3.1.08</t>
  </si>
  <si>
    <t>Административное здание (инв. №01.00.0.000000323) г. Воронеж, Конструкторов ул, дом № 82</t>
  </si>
  <si>
    <t>2.3.1.09</t>
  </si>
  <si>
    <t>Административное здание,г. Воронеж,ул. Волгоградская,30б инв. № 01.00.0.0000000327</t>
  </si>
  <si>
    <t>2.3.1.10</t>
  </si>
  <si>
    <t>Административное здание АДС,г. Семилуки,ул.25 лет Октября,114инв.№18.00.0.00001411</t>
  </si>
  <si>
    <t>2.3.1.11</t>
  </si>
  <si>
    <t>Административное здание  с пристройкой,г. Семилуки,ул.25 лет Октября,114инв.№18.00.0.00001405</t>
  </si>
  <si>
    <t>2.3.1.12</t>
  </si>
  <si>
    <t>Административно-бытовой корпус г.Эртиль, ул.Горная, 12 инв.№20.00.0.0010000004</t>
  </si>
  <si>
    <t>2.3.1.13</t>
  </si>
  <si>
    <t>Гараж г.Воронеж,пер.Краснознаменный,4 инв.№01.00.0.0000000604</t>
  </si>
  <si>
    <t>2.4.1.01</t>
  </si>
  <si>
    <t>Система видеонаблюдения г.Лиски,ул.Индустриальная,4  инв.№10.00.0.0000041677</t>
  </si>
  <si>
    <t>2.4.1.02</t>
  </si>
  <si>
    <t>Система видеонаблюдения г.Воронеж,ул.Чебышева,28  инв.№22.00.0.0000100727</t>
  </si>
  <si>
    <t>1.2.1.01</t>
  </si>
  <si>
    <t xml:space="preserve"> административное здание АДС ,г. Воронеж,ул. Конструкторов,82</t>
  </si>
  <si>
    <t>1.2.1.04</t>
  </si>
  <si>
    <t xml:space="preserve">Металлический склад, г. Острогожск, ул. Ленина, 7 </t>
  </si>
  <si>
    <t>1.2.1.06</t>
  </si>
  <si>
    <t xml:space="preserve">Учебно-тренировочный полигон м- рн Сомово, ул. Кузнецова,11 </t>
  </si>
  <si>
    <t>1.2.1.07</t>
  </si>
  <si>
    <t>сплит-системы в административном здании по адресу: г. Воронеж, ул. Никитинская, 50а инв. № 00.00.0.0000008</t>
  </si>
  <si>
    <t>4.2.1.01</t>
  </si>
  <si>
    <t>4.2.1.02</t>
  </si>
  <si>
    <t xml:space="preserve">Гараж, с. Сомово, ул. Кузнецова, 11 инв. № 00.00.0.0013354а  </t>
  </si>
  <si>
    <t>4.2.1.03</t>
  </si>
  <si>
    <t xml:space="preserve">Административное здание г. Воронежская обл., с. Сомово, ул. Кузнецова 11  инв.№ 00.00.0.0013354 </t>
  </si>
  <si>
    <t>4.2.1.05</t>
  </si>
  <si>
    <t>ГНП, пгт Анна, ул. Гнездилова, 106, инв.№ СГ00032</t>
  </si>
  <si>
    <t>4.2.1.06</t>
  </si>
  <si>
    <t>Административное здание ,г. Борисоглебск,ул. Матросовская,115 инв. № 06.00.0.1</t>
  </si>
  <si>
    <t>4.2.1.07</t>
  </si>
  <si>
    <t>Мастерские ,г. Борисоглебск,ул. Матросовская,115 инв. № 06.00.0.5</t>
  </si>
  <si>
    <r>
      <t xml:space="preserve">Административное здание , г. Лиски, ул. Индустриальная, 4, </t>
    </r>
    <r>
      <rPr>
        <i/>
        <sz val="10"/>
        <rFont val="Times New Roman"/>
        <family val="1"/>
      </rPr>
      <t>инв.</t>
    </r>
    <r>
      <rPr>
        <sz val="10"/>
        <rFont val="Times New Roman"/>
        <family val="1"/>
      </rPr>
      <t xml:space="preserve"> № 10.00.0.0000010001</t>
    </r>
  </si>
  <si>
    <r>
      <t xml:space="preserve">производственный корпус, 3-хэтажное административное здание адрес: г. Воронеж, ул. 45 Стрелковой дивизии, 257а, </t>
    </r>
    <r>
      <rPr>
        <i/>
        <sz val="10"/>
        <rFont val="Times New Roman"/>
        <family val="1"/>
      </rPr>
      <t>инвентарный № 00001486</t>
    </r>
  </si>
  <si>
    <t xml:space="preserve">  производственная база ,г. Воронеж, ул. Чебышева, 28 (автомоечный комплекс, гараж, производственная площадка с покрытием)</t>
  </si>
  <si>
    <t>3кв.14г.</t>
  </si>
  <si>
    <t xml:space="preserve"> 2 кв.15г.</t>
  </si>
  <si>
    <t>3 кв.15г.</t>
  </si>
  <si>
    <t xml:space="preserve"> 4кв.15г.</t>
  </si>
  <si>
    <t>1кв.16</t>
  </si>
  <si>
    <t>1кв.17</t>
  </si>
  <si>
    <t xml:space="preserve"> 3кв.15г.</t>
  </si>
  <si>
    <t>2кв.16</t>
  </si>
  <si>
    <t xml:space="preserve"> 1кв.15г.</t>
  </si>
  <si>
    <t xml:space="preserve"> 1кв.17г.</t>
  </si>
  <si>
    <t>1кв.12г.</t>
  </si>
  <si>
    <t>4кв.13г.</t>
  </si>
  <si>
    <t xml:space="preserve">  3кв.14г.</t>
  </si>
  <si>
    <t>3 кв.12г.</t>
  </si>
  <si>
    <t>1кв.17г.</t>
  </si>
  <si>
    <t>4кв.16</t>
  </si>
  <si>
    <t xml:space="preserve"> 4кв.16г.</t>
  </si>
  <si>
    <t>2 кв.14г.</t>
  </si>
  <si>
    <t>2 кв.15г.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</si>
  <si>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</si>
  <si>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Приложение 4б</t>
  </si>
  <si>
    <t>к приказу ФСТ России от 31.01.2011г. № 36-э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</si>
</sst>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#,##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MS Sans Serif"/>
      <family val="2"/>
    </font>
    <font>
      <b/>
      <sz val="10"/>
      <name val="Times New Roman"/>
      <family val="1"/>
    </font>
    <font>
      <sz val="10"/>
      <name val="Arial Narrow"/>
      <family val="2"/>
    </font>
    <font>
      <sz val="10"/>
      <name val="Helv"/>
      <family val="0"/>
    </font>
    <font>
      <sz val="11"/>
      <name val="Arial"/>
      <family val="2"/>
    </font>
    <font>
      <i/>
      <sz val="10"/>
      <name val="Times New Roman"/>
      <family val="1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22"/>
        <bgColor indexed="43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9" fillId="31" borderId="8" applyNumberFormat="0" applyFont="0" applyAlignment="0" applyProtection="0"/>
    <xf numFmtId="9" fontId="29" fillId="0" borderId="0" applyFont="0" applyFill="0" applyBorder="0" applyAlignment="0" applyProtection="0"/>
    <xf numFmtId="0" fontId="43" fillId="0" borderId="9" applyNumberFormat="0" applyFill="0" applyAlignment="0" applyProtection="0"/>
    <xf numFmtId="0" fontId="9" fillId="0" borderId="0">
      <alignment/>
      <protection/>
    </xf>
    <xf numFmtId="0" fontId="44" fillId="0" borderId="0" applyNumberFormat="0" applyFill="0" applyBorder="0" applyAlignment="0" applyProtection="0"/>
    <xf numFmtId="179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49" fontId="7" fillId="0" borderId="11" xfId="54" applyNumberFormat="1" applyFont="1" applyFill="1" applyBorder="1" applyAlignment="1" applyProtection="1">
      <alignment horizontal="center" vertical="center" wrapText="1"/>
      <protection/>
    </xf>
    <xf numFmtId="0" fontId="7" fillId="0" borderId="11" xfId="0" applyFont="1" applyBorder="1" applyAlignment="1">
      <alignment/>
    </xf>
    <xf numFmtId="0" fontId="8" fillId="33" borderId="11" xfId="0" applyFont="1" applyFill="1" applyBorder="1" applyAlignment="1">
      <alignment/>
    </xf>
    <xf numFmtId="3" fontId="8" fillId="33" borderId="11" xfId="0" applyNumberFormat="1" applyFont="1" applyFill="1" applyBorder="1" applyAlignment="1">
      <alignment/>
    </xf>
    <xf numFmtId="3" fontId="7" fillId="0" borderId="11" xfId="0" applyNumberFormat="1" applyFont="1" applyBorder="1" applyAlignment="1">
      <alignment horizontal="center"/>
    </xf>
    <xf numFmtId="4" fontId="3" fillId="0" borderId="0" xfId="0" applyNumberFormat="1" applyFont="1" applyAlignment="1">
      <alignment/>
    </xf>
    <xf numFmtId="49" fontId="3" fillId="0" borderId="11" xfId="54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49" fontId="3" fillId="34" borderId="11" xfId="54" applyNumberFormat="1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>
      <alignment horizontal="left" indent="1"/>
    </xf>
    <xf numFmtId="0" fontId="3" fillId="34" borderId="11" xfId="0" applyFont="1" applyFill="1" applyBorder="1" applyAlignment="1">
      <alignment/>
    </xf>
    <xf numFmtId="3" fontId="3" fillId="34" borderId="11" xfId="0" applyNumberFormat="1" applyFont="1" applyFill="1" applyBorder="1" applyAlignment="1">
      <alignment horizontal="center"/>
    </xf>
    <xf numFmtId="49" fontId="3" fillId="35" borderId="11" xfId="54" applyNumberFormat="1" applyFont="1" applyFill="1" applyBorder="1" applyAlignment="1" applyProtection="1">
      <alignment horizontal="center" vertical="center" wrapText="1"/>
      <protection/>
    </xf>
    <xf numFmtId="0" fontId="3" fillId="35" borderId="11" xfId="0" applyFont="1" applyFill="1" applyBorder="1" applyAlignment="1">
      <alignment horizontal="left" indent="1"/>
    </xf>
    <xf numFmtId="0" fontId="3" fillId="35" borderId="11" xfId="0" applyFont="1" applyFill="1" applyBorder="1" applyAlignment="1">
      <alignment/>
    </xf>
    <xf numFmtId="3" fontId="3" fillId="35" borderId="11" xfId="0" applyNumberFormat="1" applyFont="1" applyFill="1" applyBorder="1" applyAlignment="1">
      <alignment horizontal="center"/>
    </xf>
    <xf numFmtId="1" fontId="3" fillId="35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5" borderId="11" xfId="0" applyFont="1" applyFill="1" applyBorder="1" applyAlignment="1">
      <alignment horizontal="right" indent="1"/>
    </xf>
    <xf numFmtId="1" fontId="3" fillId="35" borderId="12" xfId="0" applyNumberFormat="1" applyFont="1" applyFill="1" applyBorder="1" applyAlignment="1">
      <alignment horizontal="center"/>
    </xf>
    <xf numFmtId="1" fontId="3" fillId="35" borderId="13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/>
    </xf>
    <xf numFmtId="180" fontId="3" fillId="0" borderId="12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right" vertical="top" wrapText="1"/>
    </xf>
    <xf numFmtId="0" fontId="3" fillId="35" borderId="11" xfId="0" applyFont="1" applyFill="1" applyBorder="1" applyAlignment="1">
      <alignment horizontal="center" vertical="center"/>
    </xf>
    <xf numFmtId="3" fontId="3" fillId="35" borderId="11" xfId="0" applyNumberFormat="1" applyFont="1" applyFill="1" applyBorder="1" applyAlignment="1">
      <alignment horizontal="center" vertical="center" wrapText="1"/>
    </xf>
    <xf numFmtId="4" fontId="3" fillId="35" borderId="12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3" fontId="3" fillId="0" borderId="11" xfId="0" applyNumberFormat="1" applyFont="1" applyFill="1" applyBorder="1" applyAlignment="1">
      <alignment horizontal="center" wrapText="1"/>
    </xf>
    <xf numFmtId="4" fontId="3" fillId="0" borderId="12" xfId="0" applyNumberFormat="1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" fontId="3" fillId="36" borderId="11" xfId="0" applyNumberFormat="1" applyFont="1" applyFill="1" applyBorder="1" applyAlignment="1" applyProtection="1">
      <alignment horizontal="center" wrapText="1"/>
      <protection locked="0"/>
    </xf>
    <xf numFmtId="0" fontId="3" fillId="37" borderId="11" xfId="0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3" fillId="0" borderId="11" xfId="0" applyFont="1" applyFill="1" applyBorder="1" applyAlignment="1" applyProtection="1">
      <alignment horizontal="center"/>
      <protection locked="0"/>
    </xf>
    <xf numFmtId="0" fontId="3" fillId="33" borderId="11" xfId="0" applyFont="1" applyFill="1" applyBorder="1" applyAlignment="1">
      <alignment horizontal="center"/>
    </xf>
    <xf numFmtId="4" fontId="3" fillId="0" borderId="11" xfId="0" applyNumberFormat="1" applyFont="1" applyFill="1" applyBorder="1" applyAlignment="1" applyProtection="1">
      <alignment horizontal="center" wrapText="1"/>
      <protection locked="0"/>
    </xf>
    <xf numFmtId="0" fontId="3" fillId="34" borderId="11" xfId="0" applyFont="1" applyFill="1" applyBorder="1" applyAlignment="1">
      <alignment horizontal="left" wrapText="1" indent="1"/>
    </xf>
    <xf numFmtId="2" fontId="3" fillId="0" borderId="11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35" borderId="11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left"/>
    </xf>
    <xf numFmtId="3" fontId="3" fillId="38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horizontal="right"/>
    </xf>
    <xf numFmtId="3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49" fontId="3" fillId="0" borderId="0" xfId="54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left"/>
    </xf>
    <xf numFmtId="0" fontId="8" fillId="39" borderId="0" xfId="0" applyFont="1" applyFill="1" applyBorder="1" applyAlignment="1">
      <alignment horizontal="center"/>
    </xf>
    <xf numFmtId="0" fontId="3" fillId="40" borderId="0" xfId="0" applyFont="1" applyFill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41" borderId="11" xfId="0" applyFont="1" applyFill="1" applyBorder="1" applyAlignment="1">
      <alignment horizontal="center"/>
    </xf>
    <xf numFmtId="17" fontId="3" fillId="0" borderId="11" xfId="0" applyNumberFormat="1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42" borderId="11" xfId="0" applyFont="1" applyFill="1" applyBorder="1" applyAlignment="1">
      <alignment vertical="top" wrapText="1"/>
    </xf>
    <xf numFmtId="0" fontId="3" fillId="42" borderId="14" xfId="0" applyFont="1" applyFill="1" applyBorder="1" applyAlignment="1">
      <alignment vertical="top" wrapText="1"/>
    </xf>
    <xf numFmtId="0" fontId="3" fillId="42" borderId="11" xfId="0" applyFont="1" applyFill="1" applyBorder="1" applyAlignment="1">
      <alignment horizontal="right" vertical="top" wrapText="1"/>
    </xf>
    <xf numFmtId="0" fontId="3" fillId="42" borderId="11" xfId="0" applyFont="1" applyFill="1" applyBorder="1" applyAlignment="1">
      <alignment horizontal="center" vertical="center"/>
    </xf>
    <xf numFmtId="3" fontId="3" fillId="42" borderId="11" xfId="0" applyNumberFormat="1" applyFont="1" applyFill="1" applyBorder="1" applyAlignment="1">
      <alignment horizontal="center" vertical="center" wrapText="1"/>
    </xf>
    <xf numFmtId="4" fontId="3" fillId="42" borderId="12" xfId="0" applyNumberFormat="1" applyFont="1" applyFill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2" fontId="3" fillId="0" borderId="10" xfId="60" applyNumberFormat="1" applyFont="1" applyFill="1" applyBorder="1" applyAlignment="1">
      <alignment wrapText="1"/>
      <protection/>
    </xf>
    <xf numFmtId="2" fontId="3" fillId="0" borderId="11" xfId="0" applyNumberFormat="1" applyFont="1" applyFill="1" applyBorder="1" applyAlignment="1">
      <alignment wrapText="1"/>
    </xf>
    <xf numFmtId="0" fontId="3" fillId="42" borderId="11" xfId="0" applyFont="1" applyFill="1" applyBorder="1" applyAlignment="1">
      <alignment horizontal="left" vertical="top" wrapText="1"/>
    </xf>
    <xf numFmtId="3" fontId="3" fillId="42" borderId="11" xfId="0" applyNumberFormat="1" applyFont="1" applyFill="1" applyBorder="1" applyAlignment="1">
      <alignment horizontal="center" wrapText="1"/>
    </xf>
    <xf numFmtId="4" fontId="3" fillId="42" borderId="12" xfId="0" applyNumberFormat="1" applyFont="1" applyFill="1" applyBorder="1" applyAlignment="1">
      <alignment horizontal="center" wrapText="1"/>
    </xf>
    <xf numFmtId="0" fontId="3" fillId="42" borderId="11" xfId="0" applyFont="1" applyFill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center" wrapText="1"/>
    </xf>
    <xf numFmtId="14" fontId="3" fillId="0" borderId="14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horizontal="left" wrapText="1"/>
    </xf>
    <xf numFmtId="0" fontId="3" fillId="0" borderId="11" xfId="53" applyFont="1" applyFill="1" applyBorder="1" applyAlignment="1" applyProtection="1">
      <alignment horizontal="left" wrapText="1"/>
      <protection locked="0"/>
    </xf>
    <xf numFmtId="0" fontId="3" fillId="0" borderId="10" xfId="0" applyNumberFormat="1" applyFont="1" applyFill="1" applyBorder="1" applyAlignment="1">
      <alignment wrapText="1"/>
    </xf>
    <xf numFmtId="0" fontId="3" fillId="0" borderId="11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3" fontId="3" fillId="0" borderId="10" xfId="0" applyNumberFormat="1" applyFont="1" applyFill="1" applyBorder="1" applyAlignment="1" applyProtection="1">
      <alignment horizontal="center"/>
      <protection locked="0"/>
    </xf>
    <xf numFmtId="3" fontId="3" fillId="0" borderId="11" xfId="0" applyNumberFormat="1" applyFont="1" applyFill="1" applyBorder="1" applyAlignment="1" applyProtection="1">
      <alignment horizontal="center"/>
      <protection locked="0"/>
    </xf>
    <xf numFmtId="3" fontId="3" fillId="42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 wrapText="1"/>
    </xf>
    <xf numFmtId="2" fontId="10" fillId="0" borderId="10" xfId="0" applyNumberFormat="1" applyFont="1" applyFill="1" applyBorder="1" applyAlignment="1">
      <alignment horizontal="right"/>
    </xf>
    <xf numFmtId="0" fontId="10" fillId="0" borderId="10" xfId="0" applyFont="1" applyFill="1" applyBorder="1" applyAlignment="1">
      <alignment wrapText="1"/>
    </xf>
    <xf numFmtId="4" fontId="10" fillId="0" borderId="11" xfId="0" applyNumberFormat="1" applyFont="1" applyFill="1" applyBorder="1" applyAlignment="1">
      <alignment wrapText="1"/>
    </xf>
    <xf numFmtId="2" fontId="3" fillId="0" borderId="11" xfId="0" applyNumberFormat="1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2" fontId="3" fillId="0" borderId="11" xfId="0" applyNumberFormat="1" applyFont="1" applyFill="1" applyBorder="1" applyAlignment="1" applyProtection="1">
      <alignment horizontal="center" wrapText="1"/>
      <protection locked="0"/>
    </xf>
    <xf numFmtId="4" fontId="3" fillId="0" borderId="11" xfId="0" applyNumberFormat="1" applyFont="1" applyFill="1" applyBorder="1" applyAlignment="1">
      <alignment wrapText="1"/>
    </xf>
    <xf numFmtId="2" fontId="3" fillId="0" borderId="10" xfId="0" applyNumberFormat="1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49" fontId="4" fillId="0" borderId="0" xfId="54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5" xfId="53"/>
    <cellStyle name="Обычный_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9"/>
  <sheetViews>
    <sheetView tabSelected="1" zoomScaleSheetLayoutView="100" workbookViewId="0" topLeftCell="A145">
      <selection activeCell="B169" sqref="B169"/>
    </sheetView>
  </sheetViews>
  <sheetFormatPr defaultColWidth="9.00390625" defaultRowHeight="12.75"/>
  <cols>
    <col min="1" max="1" width="7.625" style="3" customWidth="1"/>
    <col min="2" max="2" width="53.25390625" style="3" customWidth="1"/>
    <col min="3" max="4" width="9.875" style="3" customWidth="1"/>
    <col min="5" max="5" width="11.75390625" style="3" customWidth="1"/>
    <col min="6" max="6" width="11.00390625" style="3" customWidth="1"/>
    <col min="7" max="7" width="13.875" style="3" customWidth="1"/>
    <col min="8" max="8" width="13.75390625" style="3" customWidth="1"/>
    <col min="9" max="9" width="15.00390625" style="3" customWidth="1"/>
    <col min="10" max="10" width="15.875" style="3" customWidth="1"/>
    <col min="11" max="11" width="14.375" style="3" customWidth="1"/>
    <col min="12" max="16384" width="9.125" style="3" customWidth="1"/>
  </cols>
  <sheetData>
    <row r="1" s="1" customFormat="1" ht="18.75" customHeight="1">
      <c r="I1" s="2" t="s">
        <v>302</v>
      </c>
    </row>
    <row r="2" s="1" customFormat="1" ht="18.75" customHeight="1">
      <c r="I2" s="2" t="s">
        <v>303</v>
      </c>
    </row>
    <row r="3" ht="3" customHeight="1"/>
    <row r="4" ht="3" customHeight="1">
      <c r="I4" s="2"/>
    </row>
    <row r="5" ht="3" customHeight="1">
      <c r="I5" s="2"/>
    </row>
    <row r="6" ht="23.25" customHeight="1">
      <c r="I6" s="4"/>
    </row>
    <row r="7" ht="3" customHeight="1"/>
    <row r="8" spans="1:11" s="1" customFormat="1" ht="15.75" customHeight="1">
      <c r="A8" s="130" t="s">
        <v>47</v>
      </c>
      <c r="B8" s="130"/>
      <c r="C8" s="130"/>
      <c r="D8" s="130"/>
      <c r="E8" s="130"/>
      <c r="F8" s="130"/>
      <c r="G8" s="130"/>
      <c r="H8" s="130"/>
      <c r="I8" s="130"/>
      <c r="J8" s="5"/>
      <c r="K8" s="5"/>
    </row>
    <row r="9" spans="1:10" ht="12.75" customHeight="1">
      <c r="A9" s="131" t="s">
        <v>0</v>
      </c>
      <c r="B9" s="131"/>
      <c r="C9" s="131"/>
      <c r="D9" s="131"/>
      <c r="E9" s="131"/>
      <c r="F9" s="131"/>
      <c r="G9" s="131"/>
      <c r="H9" s="131"/>
      <c r="I9" s="131"/>
      <c r="J9" s="6"/>
    </row>
    <row r="10" spans="1:11" s="1" customFormat="1" ht="15.75" customHeight="1">
      <c r="A10" s="132" t="s">
        <v>1</v>
      </c>
      <c r="B10" s="132"/>
      <c r="C10" s="132"/>
      <c r="D10" s="132"/>
      <c r="E10" s="132"/>
      <c r="F10" s="132"/>
      <c r="G10" s="132"/>
      <c r="H10" s="132"/>
      <c r="I10" s="132"/>
      <c r="J10" s="7"/>
      <c r="K10" s="7"/>
    </row>
    <row r="12" spans="1:9" ht="29.25" customHeight="1">
      <c r="A12" s="133" t="s">
        <v>2</v>
      </c>
      <c r="B12" s="133" t="s">
        <v>3</v>
      </c>
      <c r="C12" s="135" t="s">
        <v>4</v>
      </c>
      <c r="D12" s="136"/>
      <c r="E12" s="135" t="s">
        <v>5</v>
      </c>
      <c r="F12" s="136"/>
      <c r="G12" s="135" t="s">
        <v>6</v>
      </c>
      <c r="H12" s="137"/>
      <c r="I12" s="136"/>
    </row>
    <row r="13" spans="1:9" ht="63.75">
      <c r="A13" s="134"/>
      <c r="B13" s="134"/>
      <c r="C13" s="9" t="s">
        <v>7</v>
      </c>
      <c r="D13" s="9" t="s">
        <v>8</v>
      </c>
      <c r="E13" s="8" t="s">
        <v>9</v>
      </c>
      <c r="F13" s="8" t="s">
        <v>10</v>
      </c>
      <c r="G13" s="9" t="s">
        <v>11</v>
      </c>
      <c r="H13" s="9" t="s">
        <v>12</v>
      </c>
      <c r="I13" s="9" t="s">
        <v>13</v>
      </c>
    </row>
    <row r="14" spans="1:9" ht="12.75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0">
        <v>6</v>
      </c>
      <c r="G14" s="10">
        <v>7</v>
      </c>
      <c r="H14" s="10">
        <v>8</v>
      </c>
      <c r="I14" s="10">
        <v>9</v>
      </c>
    </row>
    <row r="15" spans="1:10" ht="12.75">
      <c r="A15" s="11">
        <v>1</v>
      </c>
      <c r="B15" s="12" t="s">
        <v>14</v>
      </c>
      <c r="C15" s="13"/>
      <c r="D15" s="13"/>
      <c r="E15" s="14"/>
      <c r="F15" s="15">
        <f>F16+F139+F140</f>
        <v>398415.23399999994</v>
      </c>
      <c r="G15" s="13"/>
      <c r="H15" s="13"/>
      <c r="I15" s="13"/>
      <c r="J15" s="16"/>
    </row>
    <row r="16" spans="1:9" ht="25.5">
      <c r="A16" s="17" t="s">
        <v>15</v>
      </c>
      <c r="B16" s="18" t="s">
        <v>16</v>
      </c>
      <c r="C16" s="13"/>
      <c r="D16" s="13"/>
      <c r="E16" s="19">
        <f>E17+E66</f>
        <v>976707.258</v>
      </c>
      <c r="F16" s="19">
        <f>F17+F66</f>
        <v>330461.23399999994</v>
      </c>
      <c r="G16" s="20"/>
      <c r="H16" s="20"/>
      <c r="I16" s="20"/>
    </row>
    <row r="17" spans="1:9" ht="13.5" customHeight="1">
      <c r="A17" s="21" t="s">
        <v>17</v>
      </c>
      <c r="B17" s="22" t="s">
        <v>18</v>
      </c>
      <c r="C17" s="23"/>
      <c r="D17" s="23"/>
      <c r="E17" s="24">
        <f>E18+E48+E49</f>
        <v>580116.813</v>
      </c>
      <c r="F17" s="24">
        <f>F18+F48+F49</f>
        <v>136873.186</v>
      </c>
      <c r="G17" s="23"/>
      <c r="H17" s="23"/>
      <c r="I17" s="23"/>
    </row>
    <row r="18" spans="1:9" s="30" customFormat="1" ht="12.75">
      <c r="A18" s="25"/>
      <c r="B18" s="26" t="s">
        <v>19</v>
      </c>
      <c r="C18" s="27"/>
      <c r="D18" s="27"/>
      <c r="E18" s="28">
        <f>E19+E36</f>
        <v>336668.893</v>
      </c>
      <c r="F18" s="28">
        <f>F19+F36</f>
        <v>110702.226</v>
      </c>
      <c r="G18" s="29"/>
      <c r="H18" s="27"/>
      <c r="I18" s="29"/>
    </row>
    <row r="19" spans="1:9" s="30" customFormat="1" ht="12.75">
      <c r="A19" s="25"/>
      <c r="B19" s="31" t="s">
        <v>20</v>
      </c>
      <c r="C19" s="27"/>
      <c r="D19" s="27"/>
      <c r="E19" s="28">
        <f>SUM(E20:E35)</f>
        <v>320162.67</v>
      </c>
      <c r="F19" s="28">
        <f>SUM(F20:F35)</f>
        <v>101637.28099999999</v>
      </c>
      <c r="G19" s="32"/>
      <c r="H19" s="27"/>
      <c r="I19" s="33"/>
    </row>
    <row r="20" spans="1:9" s="30" customFormat="1" ht="25.5">
      <c r="A20" s="34" t="s">
        <v>48</v>
      </c>
      <c r="B20" s="35" t="s">
        <v>49</v>
      </c>
      <c r="C20" s="36" t="s">
        <v>50</v>
      </c>
      <c r="D20" s="83" t="s">
        <v>51</v>
      </c>
      <c r="E20" s="37">
        <v>19112.17</v>
      </c>
      <c r="F20" s="37">
        <v>25754.509</v>
      </c>
      <c r="G20" s="38">
        <v>14.289</v>
      </c>
      <c r="H20" s="36">
        <v>159</v>
      </c>
      <c r="I20" s="39">
        <v>0</v>
      </c>
    </row>
    <row r="21" spans="1:9" s="30" customFormat="1" ht="27" customHeight="1">
      <c r="A21" s="34" t="s">
        <v>52</v>
      </c>
      <c r="B21" s="35" t="s">
        <v>53</v>
      </c>
      <c r="C21" s="36" t="s">
        <v>50</v>
      </c>
      <c r="D21" s="36" t="s">
        <v>88</v>
      </c>
      <c r="E21" s="37">
        <v>50532.3</v>
      </c>
      <c r="F21" s="37">
        <v>8990.338</v>
      </c>
      <c r="G21" s="38">
        <v>18.054</v>
      </c>
      <c r="H21" s="36">
        <v>219.159</v>
      </c>
      <c r="I21" s="39">
        <v>0</v>
      </c>
    </row>
    <row r="22" spans="1:9" s="30" customFormat="1" ht="25.5">
      <c r="A22" s="34" t="s">
        <v>55</v>
      </c>
      <c r="B22" s="35" t="s">
        <v>56</v>
      </c>
      <c r="C22" s="36" t="s">
        <v>57</v>
      </c>
      <c r="D22" s="36" t="s">
        <v>58</v>
      </c>
      <c r="E22" s="37">
        <v>66569.3</v>
      </c>
      <c r="F22" s="37">
        <v>2068.034</v>
      </c>
      <c r="G22" s="38">
        <v>9.126</v>
      </c>
      <c r="H22" s="36">
        <v>325.219</v>
      </c>
      <c r="I22" s="39">
        <v>1</v>
      </c>
    </row>
    <row r="23" spans="1:9" s="30" customFormat="1" ht="25.5">
      <c r="A23" s="34" t="s">
        <v>59</v>
      </c>
      <c r="B23" s="35" t="s">
        <v>60</v>
      </c>
      <c r="C23" s="36" t="s">
        <v>61</v>
      </c>
      <c r="D23" s="36" t="s">
        <v>51</v>
      </c>
      <c r="E23" s="37">
        <v>4095.3</v>
      </c>
      <c r="F23" s="37">
        <v>3715.5</v>
      </c>
      <c r="G23" s="38">
        <v>3.549</v>
      </c>
      <c r="H23" s="36">
        <v>90</v>
      </c>
      <c r="I23" s="39">
        <v>1</v>
      </c>
    </row>
    <row r="24" spans="1:9" s="30" customFormat="1" ht="25.5">
      <c r="A24" s="34" t="s">
        <v>63</v>
      </c>
      <c r="B24" s="84" t="s">
        <v>64</v>
      </c>
      <c r="C24" s="36" t="s">
        <v>61</v>
      </c>
      <c r="D24" s="36" t="s">
        <v>62</v>
      </c>
      <c r="E24" s="37">
        <v>2900.1</v>
      </c>
      <c r="F24" s="37">
        <v>2900.1</v>
      </c>
      <c r="G24" s="38">
        <v>3.37</v>
      </c>
      <c r="H24" s="36">
        <v>63</v>
      </c>
      <c r="I24" s="39">
        <v>1</v>
      </c>
    </row>
    <row r="25" spans="1:9" ht="25.5">
      <c r="A25" s="34" t="s">
        <v>65</v>
      </c>
      <c r="B25" s="84" t="s">
        <v>66</v>
      </c>
      <c r="C25" s="36" t="s">
        <v>61</v>
      </c>
      <c r="D25" s="36" t="s">
        <v>51</v>
      </c>
      <c r="E25" s="37">
        <v>3757.4</v>
      </c>
      <c r="F25" s="37">
        <v>3439.8</v>
      </c>
      <c r="G25" s="38">
        <v>1.873</v>
      </c>
      <c r="H25" s="36">
        <v>90</v>
      </c>
      <c r="I25" s="39">
        <v>1</v>
      </c>
    </row>
    <row r="26" spans="1:11" ht="25.5">
      <c r="A26" s="34" t="s">
        <v>67</v>
      </c>
      <c r="B26" s="84" t="s">
        <v>68</v>
      </c>
      <c r="C26" s="36" t="s">
        <v>61</v>
      </c>
      <c r="D26" s="36" t="s">
        <v>51</v>
      </c>
      <c r="E26" s="37">
        <v>13943.3</v>
      </c>
      <c r="F26" s="37">
        <v>13601.5</v>
      </c>
      <c r="G26" s="38">
        <v>11.366</v>
      </c>
      <c r="H26" s="36">
        <v>110</v>
      </c>
      <c r="I26" s="39">
        <v>4</v>
      </c>
      <c r="J26" s="48"/>
      <c r="K26" s="48"/>
    </row>
    <row r="27" spans="1:9" s="30" customFormat="1" ht="38.25">
      <c r="A27" s="34" t="s">
        <v>69</v>
      </c>
      <c r="B27" s="85" t="s">
        <v>70</v>
      </c>
      <c r="C27" s="36" t="s">
        <v>62</v>
      </c>
      <c r="D27" s="36" t="s">
        <v>51</v>
      </c>
      <c r="E27" s="37">
        <v>4164.4</v>
      </c>
      <c r="F27" s="37">
        <v>4164.4</v>
      </c>
      <c r="G27" s="38">
        <v>1.863</v>
      </c>
      <c r="H27" s="36" t="s">
        <v>71</v>
      </c>
      <c r="I27" s="39">
        <v>1</v>
      </c>
    </row>
    <row r="28" spans="1:9" s="30" customFormat="1" ht="25.5">
      <c r="A28" s="34" t="s">
        <v>72</v>
      </c>
      <c r="B28" s="86" t="s">
        <v>73</v>
      </c>
      <c r="C28" s="36" t="s">
        <v>61</v>
      </c>
      <c r="D28" s="36" t="s">
        <v>51</v>
      </c>
      <c r="E28" s="37">
        <v>3212.8</v>
      </c>
      <c r="F28" s="37">
        <v>3212.8</v>
      </c>
      <c r="G28" s="38">
        <v>1.749</v>
      </c>
      <c r="H28" s="36">
        <v>110</v>
      </c>
      <c r="I28" s="39">
        <v>1</v>
      </c>
    </row>
    <row r="29" spans="1:9" s="30" customFormat="1" ht="38.25">
      <c r="A29" s="34" t="s">
        <v>74</v>
      </c>
      <c r="B29" s="87" t="s">
        <v>75</v>
      </c>
      <c r="C29" s="36" t="s">
        <v>62</v>
      </c>
      <c r="D29" s="36" t="s">
        <v>51</v>
      </c>
      <c r="E29" s="37">
        <v>9133.6</v>
      </c>
      <c r="F29" s="37">
        <v>9133.6</v>
      </c>
      <c r="G29" s="38">
        <v>5.96</v>
      </c>
      <c r="H29" s="36">
        <v>63</v>
      </c>
      <c r="I29" s="39">
        <v>1</v>
      </c>
    </row>
    <row r="30" spans="1:9" s="30" customFormat="1" ht="38.25">
      <c r="A30" s="34" t="s">
        <v>76</v>
      </c>
      <c r="B30" s="86" t="s">
        <v>77</v>
      </c>
      <c r="C30" s="36" t="s">
        <v>61</v>
      </c>
      <c r="D30" s="36" t="s">
        <v>51</v>
      </c>
      <c r="E30" s="37">
        <v>5739.1</v>
      </c>
      <c r="F30" s="37">
        <v>5377.9</v>
      </c>
      <c r="G30" s="38">
        <v>6.165</v>
      </c>
      <c r="H30" s="36">
        <v>63</v>
      </c>
      <c r="I30" s="39">
        <v>3</v>
      </c>
    </row>
    <row r="31" spans="1:9" s="30" customFormat="1" ht="25.5">
      <c r="A31" s="34" t="s">
        <v>78</v>
      </c>
      <c r="B31" s="88" t="s">
        <v>79</v>
      </c>
      <c r="C31" s="36" t="s">
        <v>61</v>
      </c>
      <c r="D31" s="36" t="s">
        <v>51</v>
      </c>
      <c r="E31" s="37">
        <v>14223.4</v>
      </c>
      <c r="F31" s="37">
        <v>13806.4</v>
      </c>
      <c r="G31" s="38">
        <v>0.42</v>
      </c>
      <c r="H31" s="36">
        <v>630</v>
      </c>
      <c r="I31" s="39">
        <v>0</v>
      </c>
    </row>
    <row r="32" spans="1:9" ht="38.25">
      <c r="A32" s="34" t="s">
        <v>80</v>
      </c>
      <c r="B32" s="86" t="s">
        <v>81</v>
      </c>
      <c r="C32" s="36" t="s">
        <v>61</v>
      </c>
      <c r="D32" s="36" t="s">
        <v>61</v>
      </c>
      <c r="E32" s="37">
        <v>2319.8</v>
      </c>
      <c r="F32" s="37">
        <v>1852.5</v>
      </c>
      <c r="G32" s="38">
        <v>0.367</v>
      </c>
      <c r="H32" s="36" t="s">
        <v>82</v>
      </c>
      <c r="I32" s="39">
        <v>1</v>
      </c>
    </row>
    <row r="33" spans="1:9" ht="38.25">
      <c r="A33" s="34" t="s">
        <v>83</v>
      </c>
      <c r="B33" s="86" t="s">
        <v>84</v>
      </c>
      <c r="C33" s="36" t="s">
        <v>85</v>
      </c>
      <c r="D33" s="36" t="s">
        <v>89</v>
      </c>
      <c r="E33" s="37">
        <v>117970.3</v>
      </c>
      <c r="F33" s="37">
        <v>1130.5</v>
      </c>
      <c r="G33" s="38">
        <v>3.7</v>
      </c>
      <c r="H33" s="36">
        <v>530</v>
      </c>
      <c r="I33" s="39">
        <v>0</v>
      </c>
    </row>
    <row r="34" spans="1:9" ht="38.25">
      <c r="A34" s="34" t="s">
        <v>86</v>
      </c>
      <c r="B34" s="84" t="s">
        <v>87</v>
      </c>
      <c r="C34" s="36" t="s">
        <v>62</v>
      </c>
      <c r="D34" s="36" t="s">
        <v>51</v>
      </c>
      <c r="E34" s="37">
        <v>2489.4</v>
      </c>
      <c r="F34" s="37">
        <v>2489.4</v>
      </c>
      <c r="G34" s="38">
        <v>0.918</v>
      </c>
      <c r="H34" s="36">
        <v>89</v>
      </c>
      <c r="I34" s="39">
        <v>1</v>
      </c>
    </row>
    <row r="35" spans="1:9" ht="12.75">
      <c r="A35" s="9"/>
      <c r="B35" s="41"/>
      <c r="C35" s="9"/>
      <c r="D35" s="9"/>
      <c r="E35" s="42"/>
      <c r="F35" s="42"/>
      <c r="G35" s="9"/>
      <c r="H35" s="9"/>
      <c r="I35" s="9"/>
    </row>
    <row r="36" spans="1:9" ht="12.75">
      <c r="A36" s="43"/>
      <c r="B36" s="43" t="s">
        <v>21</v>
      </c>
      <c r="C36" s="44"/>
      <c r="D36" s="44"/>
      <c r="E36" s="45">
        <f>SUM(E37:E46)</f>
        <v>16506.223</v>
      </c>
      <c r="F36" s="45">
        <f>SUM(F37:F46)</f>
        <v>9064.945</v>
      </c>
      <c r="G36" s="46"/>
      <c r="H36" s="47"/>
      <c r="I36" s="47"/>
    </row>
    <row r="37" spans="1:9" ht="25.5">
      <c r="A37" s="34" t="s">
        <v>90</v>
      </c>
      <c r="B37" s="35" t="s">
        <v>91</v>
      </c>
      <c r="C37" s="36" t="s">
        <v>62</v>
      </c>
      <c r="D37" s="36" t="s">
        <v>113</v>
      </c>
      <c r="E37" s="37">
        <v>522.36</v>
      </c>
      <c r="F37" s="49">
        <v>227.211</v>
      </c>
      <c r="G37" s="50">
        <v>0.077</v>
      </c>
      <c r="H37" s="51">
        <v>108</v>
      </c>
      <c r="I37" s="51">
        <v>0</v>
      </c>
    </row>
    <row r="38" spans="1:9" ht="25.5">
      <c r="A38" s="34" t="s">
        <v>92</v>
      </c>
      <c r="B38" s="94" t="s">
        <v>93</v>
      </c>
      <c r="C38" s="36" t="s">
        <v>62</v>
      </c>
      <c r="D38" s="36" t="s">
        <v>113</v>
      </c>
      <c r="E38" s="37">
        <v>2443.33</v>
      </c>
      <c r="F38" s="49">
        <v>1978.72</v>
      </c>
      <c r="G38" s="50">
        <v>0.027</v>
      </c>
      <c r="H38" s="51" t="s">
        <v>94</v>
      </c>
      <c r="I38" s="51">
        <v>1</v>
      </c>
    </row>
    <row r="39" spans="1:9" ht="25.5">
      <c r="A39" s="34" t="s">
        <v>95</v>
      </c>
      <c r="B39" s="95" t="s">
        <v>96</v>
      </c>
      <c r="C39" s="36" t="s">
        <v>97</v>
      </c>
      <c r="D39" s="36" t="s">
        <v>113</v>
      </c>
      <c r="E39" s="37">
        <v>1599.33</v>
      </c>
      <c r="F39" s="49">
        <v>0</v>
      </c>
      <c r="G39" s="50">
        <v>0.19</v>
      </c>
      <c r="H39" s="51" t="s">
        <v>98</v>
      </c>
      <c r="I39" s="51">
        <v>1</v>
      </c>
    </row>
    <row r="40" spans="1:9" ht="12.75">
      <c r="A40" s="34" t="s">
        <v>99</v>
      </c>
      <c r="B40" s="95" t="s">
        <v>100</v>
      </c>
      <c r="C40" s="36" t="s">
        <v>97</v>
      </c>
      <c r="D40" s="36" t="s">
        <v>113</v>
      </c>
      <c r="E40" s="37">
        <v>4620.35</v>
      </c>
      <c r="F40" s="49">
        <v>1494.826</v>
      </c>
      <c r="G40" s="50">
        <v>0.67</v>
      </c>
      <c r="H40" s="51">
        <v>159</v>
      </c>
      <c r="I40" s="51">
        <v>1</v>
      </c>
    </row>
    <row r="41" spans="1:9" ht="25.5">
      <c r="A41" s="34" t="s">
        <v>101</v>
      </c>
      <c r="B41" s="96" t="s">
        <v>102</v>
      </c>
      <c r="C41" s="36" t="s">
        <v>103</v>
      </c>
      <c r="D41" s="36" t="s">
        <v>113</v>
      </c>
      <c r="E41" s="37">
        <v>850.57</v>
      </c>
      <c r="F41" s="49">
        <v>541.24</v>
      </c>
      <c r="G41" s="50">
        <v>0.176</v>
      </c>
      <c r="H41" s="51">
        <v>89</v>
      </c>
      <c r="I41" s="51">
        <v>0</v>
      </c>
    </row>
    <row r="42" spans="1:9" ht="25.5">
      <c r="A42" s="34" t="s">
        <v>104</v>
      </c>
      <c r="B42" s="96" t="s">
        <v>105</v>
      </c>
      <c r="C42" s="36" t="s">
        <v>103</v>
      </c>
      <c r="D42" s="36" t="s">
        <v>113</v>
      </c>
      <c r="E42" s="37">
        <v>1384.02</v>
      </c>
      <c r="F42" s="49">
        <v>459.061</v>
      </c>
      <c r="G42" s="50">
        <v>0.112</v>
      </c>
      <c r="H42" s="51" t="s">
        <v>106</v>
      </c>
      <c r="I42" s="51">
        <v>1</v>
      </c>
    </row>
    <row r="43" spans="1:9" ht="25.5">
      <c r="A43" s="34" t="s">
        <v>107</v>
      </c>
      <c r="B43" s="35" t="s">
        <v>108</v>
      </c>
      <c r="C43" s="36" t="s">
        <v>62</v>
      </c>
      <c r="D43" s="36" t="s">
        <v>51</v>
      </c>
      <c r="E43" s="37">
        <v>2396.637</v>
      </c>
      <c r="F43" s="49">
        <v>1935.491</v>
      </c>
      <c r="G43" s="50">
        <v>0.574</v>
      </c>
      <c r="H43" s="51" t="s">
        <v>109</v>
      </c>
      <c r="I43" s="51">
        <v>1</v>
      </c>
    </row>
    <row r="44" spans="1:9" ht="25.5">
      <c r="A44" s="34" t="s">
        <v>110</v>
      </c>
      <c r="B44" s="35" t="s">
        <v>111</v>
      </c>
      <c r="C44" s="36" t="s">
        <v>62</v>
      </c>
      <c r="D44" s="36" t="s">
        <v>51</v>
      </c>
      <c r="E44" s="37">
        <v>1197.976</v>
      </c>
      <c r="F44" s="49">
        <v>956.946</v>
      </c>
      <c r="G44" s="50">
        <v>0.397</v>
      </c>
      <c r="H44" s="51" t="s">
        <v>112</v>
      </c>
      <c r="I44" s="51">
        <v>0</v>
      </c>
    </row>
    <row r="45" spans="1:9" ht="38.25">
      <c r="A45" s="34" t="s">
        <v>114</v>
      </c>
      <c r="B45" s="97" t="s">
        <v>116</v>
      </c>
      <c r="C45" s="36" t="s">
        <v>62</v>
      </c>
      <c r="D45" s="36" t="s">
        <v>51</v>
      </c>
      <c r="E45" s="98">
        <v>409.65</v>
      </c>
      <c r="F45" s="98">
        <v>409.65</v>
      </c>
      <c r="G45" s="99">
        <v>0.26</v>
      </c>
      <c r="H45" s="100" t="s">
        <v>118</v>
      </c>
      <c r="I45" s="100">
        <v>1</v>
      </c>
    </row>
    <row r="46" spans="1:9" ht="38.25">
      <c r="A46" s="34" t="s">
        <v>115</v>
      </c>
      <c r="B46" s="97" t="s">
        <v>117</v>
      </c>
      <c r="C46" s="36" t="s">
        <v>62</v>
      </c>
      <c r="D46" s="36" t="s">
        <v>54</v>
      </c>
      <c r="E46" s="98">
        <v>1082</v>
      </c>
      <c r="F46" s="98">
        <v>1061.8</v>
      </c>
      <c r="G46" s="99">
        <v>0.397</v>
      </c>
      <c r="H46" s="100">
        <v>63</v>
      </c>
      <c r="I46" s="100">
        <v>1</v>
      </c>
    </row>
    <row r="47" spans="1:9" ht="12.75">
      <c r="A47" s="89"/>
      <c r="B47" s="89"/>
      <c r="C47" s="90"/>
      <c r="D47" s="90"/>
      <c r="E47" s="91"/>
      <c r="F47" s="91"/>
      <c r="G47" s="92"/>
      <c r="H47" s="93"/>
      <c r="I47" s="93"/>
    </row>
    <row r="48" spans="1:9" s="30" customFormat="1" ht="12.75">
      <c r="A48" s="25"/>
      <c r="B48" s="26" t="s">
        <v>22</v>
      </c>
      <c r="C48" s="52"/>
      <c r="D48" s="52"/>
      <c r="E48" s="28">
        <f>8108.1+840</f>
        <v>8948.1</v>
      </c>
      <c r="F48" s="28">
        <f>3456.63+126</f>
        <v>3582.63</v>
      </c>
      <c r="G48" s="53">
        <v>8108.1</v>
      </c>
      <c r="H48" s="53"/>
      <c r="I48" s="53"/>
    </row>
    <row r="49" spans="1:9" s="30" customFormat="1" ht="12.75">
      <c r="A49" s="25"/>
      <c r="B49" s="26" t="s">
        <v>23</v>
      </c>
      <c r="C49" s="54"/>
      <c r="D49" s="27"/>
      <c r="E49" s="28">
        <f>SUM(E50:E65)</f>
        <v>234499.81999999998</v>
      </c>
      <c r="F49" s="28">
        <f>SUM(F50:F65)</f>
        <v>22588.33</v>
      </c>
      <c r="G49" s="53"/>
      <c r="H49" s="53"/>
      <c r="I49" s="53"/>
    </row>
    <row r="50" spans="1:9" s="30" customFormat="1" ht="25.5">
      <c r="A50" s="110" t="s">
        <v>217</v>
      </c>
      <c r="B50" s="109" t="s">
        <v>218</v>
      </c>
      <c r="C50" s="9" t="s">
        <v>292</v>
      </c>
      <c r="D50" s="9" t="s">
        <v>291</v>
      </c>
      <c r="E50" s="112">
        <f>ROUND(2733.04*0.8,0)</f>
        <v>2186</v>
      </c>
      <c r="F50" s="115">
        <f>ROUND(75.93*0.8,0)</f>
        <v>61</v>
      </c>
      <c r="G50" s="56"/>
      <c r="H50" s="56"/>
      <c r="I50" s="56"/>
    </row>
    <row r="51" spans="1:9" s="30" customFormat="1" ht="12.75">
      <c r="A51" s="110" t="s">
        <v>219</v>
      </c>
      <c r="B51" s="108" t="s">
        <v>220</v>
      </c>
      <c r="C51" s="80" t="s">
        <v>295</v>
      </c>
      <c r="D51" s="121" t="s">
        <v>284</v>
      </c>
      <c r="E51" s="112">
        <f>ROUND(5865.2*0.768,0)</f>
        <v>4504</v>
      </c>
      <c r="F51" s="115">
        <f>ROUND(170.62*0.768,0)</f>
        <v>131</v>
      </c>
      <c r="G51" s="56"/>
      <c r="H51" s="56"/>
      <c r="I51" s="56"/>
    </row>
    <row r="52" spans="1:11" ht="38.25">
      <c r="A52" s="110" t="s">
        <v>221</v>
      </c>
      <c r="B52" s="96" t="s">
        <v>281</v>
      </c>
      <c r="C52" s="121" t="s">
        <v>299</v>
      </c>
      <c r="D52" s="124" t="s">
        <v>51</v>
      </c>
      <c r="E52" s="112">
        <f>ROUND(220338.98*0.8,0)</f>
        <v>176271</v>
      </c>
      <c r="F52" s="115">
        <f>ROUND((137.61+13810.76)*0.8,0)</f>
        <v>11159</v>
      </c>
      <c r="G52" s="56"/>
      <c r="H52" s="56"/>
      <c r="I52" s="56"/>
      <c r="J52" s="48"/>
      <c r="K52" s="48"/>
    </row>
    <row r="53" spans="1:11" ht="12.75">
      <c r="A53" s="110" t="s">
        <v>222</v>
      </c>
      <c r="B53" s="107" t="s">
        <v>223</v>
      </c>
      <c r="C53" s="121" t="s">
        <v>284</v>
      </c>
      <c r="D53" s="121" t="s">
        <v>51</v>
      </c>
      <c r="E53" s="37">
        <v>161.56</v>
      </c>
      <c r="F53" s="112">
        <f>21.6+139.96</f>
        <v>161.56</v>
      </c>
      <c r="G53" s="56"/>
      <c r="H53" s="56"/>
      <c r="I53" s="56"/>
      <c r="J53" s="48"/>
      <c r="K53" s="48"/>
    </row>
    <row r="54" spans="1:11" ht="12.75">
      <c r="A54" s="110" t="s">
        <v>224</v>
      </c>
      <c r="B54" s="107" t="s">
        <v>223</v>
      </c>
      <c r="C54" s="121" t="s">
        <v>284</v>
      </c>
      <c r="D54" s="121" t="s">
        <v>51</v>
      </c>
      <c r="E54" s="37">
        <v>208.31</v>
      </c>
      <c r="F54" s="112">
        <f>43.36+164.95</f>
        <v>208.31</v>
      </c>
      <c r="G54" s="56"/>
      <c r="H54" s="56"/>
      <c r="I54" s="56"/>
      <c r="J54" s="48"/>
      <c r="K54" s="48"/>
    </row>
    <row r="55" spans="1:11" ht="12.75">
      <c r="A55" s="110" t="s">
        <v>225</v>
      </c>
      <c r="B55" s="35" t="s">
        <v>226</v>
      </c>
      <c r="C55" s="121" t="s">
        <v>284</v>
      </c>
      <c r="D55" s="124" t="s">
        <v>296</v>
      </c>
      <c r="E55" s="37">
        <f>ROUND(228.48*0.768,0)</f>
        <v>175</v>
      </c>
      <c r="F55" s="112">
        <f>ROUND(30*0.768,0)</f>
        <v>23</v>
      </c>
      <c r="G55" s="56"/>
      <c r="H55" s="56"/>
      <c r="I55" s="56"/>
      <c r="J55" s="48"/>
      <c r="K55" s="48"/>
    </row>
    <row r="56" spans="1:11" ht="12.75">
      <c r="A56" s="110" t="s">
        <v>227</v>
      </c>
      <c r="B56" s="35" t="s">
        <v>228</v>
      </c>
      <c r="C56" s="121" t="s">
        <v>284</v>
      </c>
      <c r="D56" s="124" t="s">
        <v>296</v>
      </c>
      <c r="E56" s="37">
        <f>ROUND(719.38*0.768,0)</f>
        <v>552</v>
      </c>
      <c r="F56" s="112">
        <f>ROUND(40*0.768,0)</f>
        <v>31</v>
      </c>
      <c r="G56" s="56"/>
      <c r="H56" s="56"/>
      <c r="I56" s="56"/>
      <c r="J56" s="48"/>
      <c r="K56" s="48"/>
    </row>
    <row r="57" spans="1:11" ht="25.5">
      <c r="A57" s="111" t="s">
        <v>229</v>
      </c>
      <c r="B57" s="107" t="s">
        <v>230</v>
      </c>
      <c r="C57" s="121" t="s">
        <v>58</v>
      </c>
      <c r="D57" s="121" t="s">
        <v>58</v>
      </c>
      <c r="E57" s="37">
        <f>ROUND(158.65*0.768,0)</f>
        <v>122</v>
      </c>
      <c r="F57" s="115">
        <f>ROUND((10+148.65)*0.768,0)</f>
        <v>122</v>
      </c>
      <c r="G57" s="56"/>
      <c r="H57" s="56"/>
      <c r="I57" s="56"/>
      <c r="J57" s="48"/>
      <c r="K57" s="48"/>
    </row>
    <row r="58" spans="1:11" ht="25.5">
      <c r="A58" s="120" t="s">
        <v>260</v>
      </c>
      <c r="B58" s="96" t="s">
        <v>261</v>
      </c>
      <c r="C58" s="121" t="s">
        <v>293</v>
      </c>
      <c r="D58" s="124" t="s">
        <v>51</v>
      </c>
      <c r="E58" s="37">
        <v>37621.11</v>
      </c>
      <c r="F58" s="115">
        <v>963.17</v>
      </c>
      <c r="G58" s="56"/>
      <c r="H58" s="56"/>
      <c r="I58" s="56"/>
      <c r="J58" s="48"/>
      <c r="K58" s="48"/>
    </row>
    <row r="59" spans="1:11" ht="12.75">
      <c r="A59" s="120" t="s">
        <v>262</v>
      </c>
      <c r="B59" s="119" t="s">
        <v>263</v>
      </c>
      <c r="C59" s="123" t="s">
        <v>294</v>
      </c>
      <c r="D59" s="121" t="s">
        <v>61</v>
      </c>
      <c r="E59" s="37">
        <v>2190.84</v>
      </c>
      <c r="F59" s="115">
        <v>10.29</v>
      </c>
      <c r="G59" s="56"/>
      <c r="H59" s="56"/>
      <c r="I59" s="56"/>
      <c r="J59" s="48"/>
      <c r="K59" s="48"/>
    </row>
    <row r="60" spans="1:11" ht="25.5">
      <c r="A60" s="120" t="s">
        <v>264</v>
      </c>
      <c r="B60" s="94" t="s">
        <v>265</v>
      </c>
      <c r="C60" s="121" t="s">
        <v>50</v>
      </c>
      <c r="D60" s="124" t="s">
        <v>113</v>
      </c>
      <c r="E60" s="37">
        <f>ROUND(13612.97*0.768,0)</f>
        <v>10455</v>
      </c>
      <c r="F60" s="115">
        <f>ROUND(12584.8*0.768,0)</f>
        <v>9665</v>
      </c>
      <c r="G60" s="56"/>
      <c r="H60" s="56"/>
      <c r="I60" s="56"/>
      <c r="J60" s="48"/>
      <c r="K60" s="48"/>
    </row>
    <row r="61" spans="1:11" ht="25.5">
      <c r="A61" s="120" t="s">
        <v>266</v>
      </c>
      <c r="B61" s="94" t="s">
        <v>267</v>
      </c>
      <c r="C61" s="121" t="s">
        <v>51</v>
      </c>
      <c r="D61" s="121" t="s">
        <v>51</v>
      </c>
      <c r="E61" s="49">
        <v>53</v>
      </c>
      <c r="F61" s="115">
        <f>ROUND(69.2*0.768,0)</f>
        <v>53</v>
      </c>
      <c r="G61" s="56"/>
      <c r="H61" s="56"/>
      <c r="I61" s="56"/>
      <c r="J61" s="48"/>
      <c r="K61" s="48"/>
    </row>
    <row r="62" spans="1:11" ht="12.75">
      <c r="A62" s="120"/>
      <c r="B62" s="94"/>
      <c r="C62" s="81"/>
      <c r="D62" s="81"/>
      <c r="E62" s="122"/>
      <c r="F62" s="42"/>
      <c r="G62" s="56"/>
      <c r="H62" s="56"/>
      <c r="I62" s="56"/>
      <c r="J62" s="48"/>
      <c r="K62" s="48"/>
    </row>
    <row r="63" spans="1:11" ht="14.25">
      <c r="A63" s="116"/>
      <c r="B63" s="117"/>
      <c r="C63" s="81"/>
      <c r="D63" s="81"/>
      <c r="E63" s="118"/>
      <c r="F63" s="42"/>
      <c r="G63" s="56"/>
      <c r="H63" s="56"/>
      <c r="I63" s="56"/>
      <c r="J63" s="48"/>
      <c r="K63" s="48"/>
    </row>
    <row r="64" spans="1:11" ht="14.25">
      <c r="A64" s="116"/>
      <c r="B64" s="117"/>
      <c r="C64" s="81"/>
      <c r="D64" s="81"/>
      <c r="E64" s="118"/>
      <c r="F64" s="42"/>
      <c r="G64" s="56"/>
      <c r="H64" s="56"/>
      <c r="I64" s="56"/>
      <c r="J64" s="48"/>
      <c r="K64" s="48"/>
    </row>
    <row r="65" spans="1:11" ht="12.75">
      <c r="A65" s="55"/>
      <c r="B65" s="109"/>
      <c r="C65" s="57"/>
      <c r="D65" s="57"/>
      <c r="E65" s="42"/>
      <c r="F65" s="42"/>
      <c r="G65" s="56"/>
      <c r="H65" s="56"/>
      <c r="I65" s="56"/>
      <c r="J65" s="48"/>
      <c r="K65" s="48"/>
    </row>
    <row r="66" spans="1:11" ht="12.75">
      <c r="A66" s="21" t="s">
        <v>24</v>
      </c>
      <c r="B66" s="58" t="s">
        <v>25</v>
      </c>
      <c r="C66" s="23"/>
      <c r="D66" s="23"/>
      <c r="E66" s="24">
        <f>E67+E115+E116</f>
        <v>396590.44500000007</v>
      </c>
      <c r="F66" s="24">
        <f>F67+F115+F116</f>
        <v>193588.04799999998</v>
      </c>
      <c r="G66" s="23"/>
      <c r="H66" s="23"/>
      <c r="I66" s="23"/>
      <c r="J66" s="48"/>
      <c r="K66" s="48"/>
    </row>
    <row r="67" spans="1:11" ht="12.75">
      <c r="A67" s="25"/>
      <c r="B67" s="26" t="s">
        <v>26</v>
      </c>
      <c r="C67" s="27"/>
      <c r="D67" s="27"/>
      <c r="E67" s="28">
        <f>SUM(E68:E114)</f>
        <v>141560.51300000004</v>
      </c>
      <c r="F67" s="28">
        <f>SUM(F68:F114)</f>
        <v>47504.46799999999</v>
      </c>
      <c r="G67" s="29">
        <f>SUM(G68:G68)</f>
        <v>0</v>
      </c>
      <c r="H67" s="27"/>
      <c r="I67" s="29">
        <v>7</v>
      </c>
      <c r="J67" s="48"/>
      <c r="K67" s="48"/>
    </row>
    <row r="68" spans="1:11" ht="38.25">
      <c r="A68" s="34" t="s">
        <v>152</v>
      </c>
      <c r="B68" s="61" t="s">
        <v>119</v>
      </c>
      <c r="C68" s="36" t="s">
        <v>62</v>
      </c>
      <c r="D68" s="36" t="s">
        <v>62</v>
      </c>
      <c r="E68" s="37">
        <v>4107.491</v>
      </c>
      <c r="F68" s="49">
        <v>4094.095</v>
      </c>
      <c r="G68" s="50" t="s">
        <v>120</v>
      </c>
      <c r="H68" s="51" t="s">
        <v>120</v>
      </c>
      <c r="I68" s="51">
        <v>0</v>
      </c>
      <c r="J68" s="48"/>
      <c r="K68" s="48"/>
    </row>
    <row r="69" spans="1:11" ht="38.25">
      <c r="A69" s="34" t="s">
        <v>153</v>
      </c>
      <c r="B69" s="61" t="s">
        <v>121</v>
      </c>
      <c r="C69" s="36" t="s">
        <v>103</v>
      </c>
      <c r="D69" s="36" t="s">
        <v>61</v>
      </c>
      <c r="E69" s="37">
        <v>727.003</v>
      </c>
      <c r="F69" s="49">
        <v>713.607</v>
      </c>
      <c r="G69" s="50" t="s">
        <v>120</v>
      </c>
      <c r="H69" s="51" t="s">
        <v>122</v>
      </c>
      <c r="I69" s="51">
        <v>0</v>
      </c>
      <c r="J69" s="48"/>
      <c r="K69" s="48"/>
    </row>
    <row r="70" spans="1:11" ht="38.25">
      <c r="A70" s="34" t="s">
        <v>154</v>
      </c>
      <c r="B70" s="61" t="s">
        <v>123</v>
      </c>
      <c r="C70" s="36" t="s">
        <v>103</v>
      </c>
      <c r="D70" s="36" t="s">
        <v>61</v>
      </c>
      <c r="E70" s="37">
        <v>3097.249</v>
      </c>
      <c r="F70" s="49">
        <v>3066.462</v>
      </c>
      <c r="G70" s="50" t="s">
        <v>124</v>
      </c>
      <c r="H70" s="51" t="s">
        <v>120</v>
      </c>
      <c r="I70" s="51">
        <v>0</v>
      </c>
      <c r="J70" s="48"/>
      <c r="K70" s="48"/>
    </row>
    <row r="71" spans="1:11" ht="38.25">
      <c r="A71" s="34" t="s">
        <v>155</v>
      </c>
      <c r="B71" s="103" t="s">
        <v>125</v>
      </c>
      <c r="C71" s="36" t="s">
        <v>103</v>
      </c>
      <c r="D71" s="36" t="s">
        <v>61</v>
      </c>
      <c r="E71" s="37">
        <v>789.425</v>
      </c>
      <c r="F71" s="49">
        <v>776.029</v>
      </c>
      <c r="G71" s="50" t="s">
        <v>120</v>
      </c>
      <c r="H71" s="51" t="s">
        <v>120</v>
      </c>
      <c r="I71" s="51">
        <v>0</v>
      </c>
      <c r="J71" s="48"/>
      <c r="K71" s="48"/>
    </row>
    <row r="72" spans="1:11" ht="38.25">
      <c r="A72" s="34" t="s">
        <v>190</v>
      </c>
      <c r="B72" s="103" t="s">
        <v>126</v>
      </c>
      <c r="C72" s="36" t="s">
        <v>62</v>
      </c>
      <c r="D72" s="36" t="s">
        <v>62</v>
      </c>
      <c r="E72" s="37">
        <v>379.071</v>
      </c>
      <c r="F72" s="49">
        <v>365.676</v>
      </c>
      <c r="G72" s="101" t="s">
        <v>120</v>
      </c>
      <c r="H72" s="50" t="s">
        <v>120</v>
      </c>
      <c r="I72" s="51">
        <v>0</v>
      </c>
      <c r="J72" s="48"/>
      <c r="K72" s="48"/>
    </row>
    <row r="73" spans="1:11" ht="38.25">
      <c r="A73" s="34" t="s">
        <v>156</v>
      </c>
      <c r="B73" s="103" t="s">
        <v>127</v>
      </c>
      <c r="C73" s="36" t="s">
        <v>62</v>
      </c>
      <c r="D73" s="36" t="s">
        <v>62</v>
      </c>
      <c r="E73" s="37">
        <v>359.692</v>
      </c>
      <c r="F73" s="49">
        <v>346.296</v>
      </c>
      <c r="G73" s="101" t="s">
        <v>120</v>
      </c>
      <c r="H73" s="50" t="s">
        <v>120</v>
      </c>
      <c r="I73" s="51">
        <v>0</v>
      </c>
      <c r="J73" s="48"/>
      <c r="K73" s="48"/>
    </row>
    <row r="74" spans="1:11" ht="25.5">
      <c r="A74" s="34" t="s">
        <v>157</v>
      </c>
      <c r="B74" s="103" t="s">
        <v>128</v>
      </c>
      <c r="C74" s="36" t="s">
        <v>103</v>
      </c>
      <c r="D74" s="36" t="s">
        <v>61</v>
      </c>
      <c r="E74" s="37">
        <v>159.595</v>
      </c>
      <c r="F74" s="49">
        <v>146.199</v>
      </c>
      <c r="G74" s="50" t="s">
        <v>120</v>
      </c>
      <c r="H74" s="51" t="s">
        <v>120</v>
      </c>
      <c r="I74" s="51">
        <v>0</v>
      </c>
      <c r="J74" s="48"/>
      <c r="K74" s="48"/>
    </row>
    <row r="75" spans="1:11" ht="25.5">
      <c r="A75" s="34" t="s">
        <v>158</v>
      </c>
      <c r="B75" s="103" t="s">
        <v>129</v>
      </c>
      <c r="C75" s="36" t="s">
        <v>62</v>
      </c>
      <c r="D75" s="36" t="s">
        <v>62</v>
      </c>
      <c r="E75" s="37">
        <v>3140.133</v>
      </c>
      <c r="F75" s="49">
        <v>3126.737</v>
      </c>
      <c r="G75" s="50" t="s">
        <v>120</v>
      </c>
      <c r="H75" s="51" t="s">
        <v>120</v>
      </c>
      <c r="I75" s="51">
        <v>0</v>
      </c>
      <c r="J75" s="48"/>
      <c r="K75" s="48"/>
    </row>
    <row r="76" spans="1:11" ht="38.25">
      <c r="A76" s="34" t="s">
        <v>159</v>
      </c>
      <c r="B76" s="104" t="s">
        <v>130</v>
      </c>
      <c r="C76" s="36" t="s">
        <v>103</v>
      </c>
      <c r="D76" s="36" t="s">
        <v>61</v>
      </c>
      <c r="E76" s="37">
        <v>357.668</v>
      </c>
      <c r="F76" s="49">
        <v>330.876</v>
      </c>
      <c r="G76" s="50" t="s">
        <v>120</v>
      </c>
      <c r="H76" s="51" t="s">
        <v>120</v>
      </c>
      <c r="I76" s="51">
        <v>0</v>
      </c>
      <c r="J76" s="48"/>
      <c r="K76" s="48"/>
    </row>
    <row r="77" spans="1:11" ht="38.25">
      <c r="A77" s="34" t="s">
        <v>160</v>
      </c>
      <c r="B77" s="103" t="s">
        <v>131</v>
      </c>
      <c r="C77" s="36" t="s">
        <v>103</v>
      </c>
      <c r="D77" s="36" t="s">
        <v>61</v>
      </c>
      <c r="E77" s="37">
        <v>418.528</v>
      </c>
      <c r="F77" s="49">
        <v>391.737</v>
      </c>
      <c r="G77" s="50" t="s">
        <v>120</v>
      </c>
      <c r="H77" s="51" t="s">
        <v>120</v>
      </c>
      <c r="I77" s="51">
        <v>0</v>
      </c>
      <c r="J77" s="48"/>
      <c r="K77" s="48"/>
    </row>
    <row r="78" spans="1:11" ht="25.5">
      <c r="A78" s="34" t="s">
        <v>161</v>
      </c>
      <c r="B78" s="103" t="s">
        <v>132</v>
      </c>
      <c r="C78" s="36" t="s">
        <v>103</v>
      </c>
      <c r="D78" s="36" t="s">
        <v>61</v>
      </c>
      <c r="E78" s="37">
        <v>350.684</v>
      </c>
      <c r="F78" s="49">
        <v>337.288</v>
      </c>
      <c r="G78" s="50" t="s">
        <v>120</v>
      </c>
      <c r="H78" s="51" t="s">
        <v>120</v>
      </c>
      <c r="I78" s="51">
        <v>0</v>
      </c>
      <c r="J78" s="48"/>
      <c r="K78" s="48"/>
    </row>
    <row r="79" spans="1:11" ht="38.25">
      <c r="A79" s="34" t="s">
        <v>162</v>
      </c>
      <c r="B79" s="103" t="s">
        <v>133</v>
      </c>
      <c r="C79" s="36" t="s">
        <v>103</v>
      </c>
      <c r="D79" s="36" t="s">
        <v>61</v>
      </c>
      <c r="E79" s="37">
        <v>168.688</v>
      </c>
      <c r="F79" s="49">
        <v>141.896</v>
      </c>
      <c r="G79" s="50" t="s">
        <v>120</v>
      </c>
      <c r="H79" s="51" t="s">
        <v>120</v>
      </c>
      <c r="I79" s="51">
        <v>0</v>
      </c>
      <c r="J79" s="48"/>
      <c r="K79" s="48"/>
    </row>
    <row r="80" spans="1:11" ht="38.25">
      <c r="A80" s="34" t="s">
        <v>163</v>
      </c>
      <c r="B80" s="103" t="s">
        <v>134</v>
      </c>
      <c r="C80" s="36" t="s">
        <v>103</v>
      </c>
      <c r="D80" s="36" t="s">
        <v>61</v>
      </c>
      <c r="E80" s="37">
        <v>132.747</v>
      </c>
      <c r="F80" s="49">
        <v>119.351</v>
      </c>
      <c r="G80" s="50" t="s">
        <v>120</v>
      </c>
      <c r="H80" s="51" t="s">
        <v>120</v>
      </c>
      <c r="I80" s="51">
        <v>0</v>
      </c>
      <c r="J80" s="48"/>
      <c r="K80" s="48"/>
    </row>
    <row r="81" spans="1:11" ht="25.5">
      <c r="A81" s="34" t="s">
        <v>164</v>
      </c>
      <c r="B81" s="103" t="s">
        <v>135</v>
      </c>
      <c r="C81" s="36" t="s">
        <v>62</v>
      </c>
      <c r="D81" s="36" t="s">
        <v>62</v>
      </c>
      <c r="E81" s="37">
        <v>61.796</v>
      </c>
      <c r="F81" s="49">
        <v>48.399</v>
      </c>
      <c r="G81" s="50" t="s">
        <v>120</v>
      </c>
      <c r="H81" s="51" t="s">
        <v>120</v>
      </c>
      <c r="I81" s="51">
        <v>0</v>
      </c>
      <c r="J81" s="48"/>
      <c r="K81" s="48"/>
    </row>
    <row r="82" spans="1:11" ht="25.5">
      <c r="A82" s="34" t="s">
        <v>165</v>
      </c>
      <c r="B82" s="103" t="s">
        <v>136</v>
      </c>
      <c r="C82" s="36" t="s">
        <v>62</v>
      </c>
      <c r="D82" s="36" t="s">
        <v>62</v>
      </c>
      <c r="E82" s="37">
        <v>326.988</v>
      </c>
      <c r="F82" s="49">
        <v>313.592</v>
      </c>
      <c r="G82" s="50" t="s">
        <v>120</v>
      </c>
      <c r="H82" s="51" t="s">
        <v>120</v>
      </c>
      <c r="I82" s="51">
        <v>0</v>
      </c>
      <c r="J82" s="48"/>
      <c r="K82" s="48"/>
    </row>
    <row r="83" spans="1:11" ht="38.25">
      <c r="A83" s="34" t="s">
        <v>166</v>
      </c>
      <c r="B83" s="35" t="s">
        <v>198</v>
      </c>
      <c r="C83" s="36" t="s">
        <v>62</v>
      </c>
      <c r="D83" s="36" t="s">
        <v>62</v>
      </c>
      <c r="E83" s="37">
        <v>841.99</v>
      </c>
      <c r="F83" s="49">
        <v>841.99</v>
      </c>
      <c r="G83" s="50" t="s">
        <v>120</v>
      </c>
      <c r="H83" s="51" t="s">
        <v>120</v>
      </c>
      <c r="I83" s="51">
        <v>0</v>
      </c>
      <c r="J83" s="48"/>
      <c r="K83" s="48"/>
    </row>
    <row r="84" spans="1:11" ht="38.25">
      <c r="A84" s="34" t="s">
        <v>167</v>
      </c>
      <c r="B84" s="35" t="s">
        <v>137</v>
      </c>
      <c r="C84" s="36" t="s">
        <v>62</v>
      </c>
      <c r="D84" s="36" t="s">
        <v>62</v>
      </c>
      <c r="E84" s="37">
        <v>760.934</v>
      </c>
      <c r="F84" s="49">
        <v>760.934</v>
      </c>
      <c r="G84" s="50" t="s">
        <v>120</v>
      </c>
      <c r="H84" s="51" t="s">
        <v>120</v>
      </c>
      <c r="I84" s="51">
        <v>0</v>
      </c>
      <c r="J84" s="48"/>
      <c r="K84" s="48"/>
    </row>
    <row r="85" spans="1:11" ht="25.5">
      <c r="A85" s="34" t="s">
        <v>168</v>
      </c>
      <c r="B85" s="61" t="s">
        <v>138</v>
      </c>
      <c r="C85" s="36" t="s">
        <v>103</v>
      </c>
      <c r="D85" s="36" t="s">
        <v>61</v>
      </c>
      <c r="E85" s="37">
        <v>307.235</v>
      </c>
      <c r="F85" s="49">
        <v>293.845</v>
      </c>
      <c r="G85" s="50" t="s">
        <v>120</v>
      </c>
      <c r="H85" s="51" t="s">
        <v>120</v>
      </c>
      <c r="I85" s="51">
        <v>0</v>
      </c>
      <c r="J85" s="48"/>
      <c r="K85" s="48"/>
    </row>
    <row r="86" spans="1:11" ht="25.5">
      <c r="A86" s="34" t="s">
        <v>169</v>
      </c>
      <c r="B86" s="61" t="s">
        <v>139</v>
      </c>
      <c r="C86" s="36" t="s">
        <v>103</v>
      </c>
      <c r="D86" s="36" t="s">
        <v>61</v>
      </c>
      <c r="E86" s="37">
        <v>58.608</v>
      </c>
      <c r="F86" s="49">
        <v>45.208</v>
      </c>
      <c r="G86" s="50" t="s">
        <v>120</v>
      </c>
      <c r="H86" s="51" t="s">
        <v>120</v>
      </c>
      <c r="I86" s="51">
        <v>0</v>
      </c>
      <c r="J86" s="48"/>
      <c r="K86" s="48"/>
    </row>
    <row r="87" spans="1:11" ht="25.5">
      <c r="A87" s="34" t="s">
        <v>170</v>
      </c>
      <c r="B87" s="61" t="s">
        <v>140</v>
      </c>
      <c r="C87" s="36" t="s">
        <v>103</v>
      </c>
      <c r="D87" s="36" t="s">
        <v>61</v>
      </c>
      <c r="E87" s="37">
        <v>674.145</v>
      </c>
      <c r="F87" s="49">
        <v>647.353</v>
      </c>
      <c r="G87" s="50" t="s">
        <v>120</v>
      </c>
      <c r="H87" s="51" t="s">
        <v>120</v>
      </c>
      <c r="I87" s="51">
        <v>0</v>
      </c>
      <c r="J87" s="48"/>
      <c r="K87" s="48"/>
    </row>
    <row r="88" spans="1:11" ht="25.5">
      <c r="A88" s="34" t="s">
        <v>171</v>
      </c>
      <c r="B88" s="105" t="s">
        <v>141</v>
      </c>
      <c r="C88" s="36" t="s">
        <v>103</v>
      </c>
      <c r="D88" s="36" t="s">
        <v>62</v>
      </c>
      <c r="E88" s="37">
        <v>252.32</v>
      </c>
      <c r="F88" s="49">
        <v>150.077</v>
      </c>
      <c r="G88" s="50" t="s">
        <v>120</v>
      </c>
      <c r="H88" s="51" t="s">
        <v>120</v>
      </c>
      <c r="I88" s="51">
        <v>1</v>
      </c>
      <c r="J88" s="48"/>
      <c r="K88" s="48"/>
    </row>
    <row r="89" spans="1:11" ht="25.5">
      <c r="A89" s="34" t="s">
        <v>172</v>
      </c>
      <c r="B89" s="105" t="s">
        <v>142</v>
      </c>
      <c r="C89" s="36" t="s">
        <v>103</v>
      </c>
      <c r="D89" s="36" t="s">
        <v>51</v>
      </c>
      <c r="E89" s="37">
        <v>2285.12</v>
      </c>
      <c r="F89" s="49">
        <v>2137.1</v>
      </c>
      <c r="G89" s="50" t="s">
        <v>120</v>
      </c>
      <c r="H89" s="51" t="s">
        <v>120</v>
      </c>
      <c r="I89" s="51">
        <v>1</v>
      </c>
      <c r="J89" s="48"/>
      <c r="K89" s="48"/>
    </row>
    <row r="90" spans="1:11" ht="25.5">
      <c r="A90" s="34" t="s">
        <v>173</v>
      </c>
      <c r="B90" s="105" t="s">
        <v>143</v>
      </c>
      <c r="C90" s="36" t="s">
        <v>62</v>
      </c>
      <c r="D90" s="36" t="s">
        <v>62</v>
      </c>
      <c r="E90" s="37">
        <v>2284.21</v>
      </c>
      <c r="F90" s="49">
        <v>2103.116</v>
      </c>
      <c r="G90" s="50" t="s">
        <v>120</v>
      </c>
      <c r="H90" s="51" t="s">
        <v>120</v>
      </c>
      <c r="I90" s="51">
        <v>1</v>
      </c>
      <c r="J90" s="48"/>
      <c r="K90" s="48"/>
    </row>
    <row r="91" spans="1:11" ht="25.5">
      <c r="A91" s="34" t="s">
        <v>174</v>
      </c>
      <c r="B91" s="105" t="s">
        <v>144</v>
      </c>
      <c r="C91" s="36" t="s">
        <v>62</v>
      </c>
      <c r="D91" s="36" t="s">
        <v>51</v>
      </c>
      <c r="E91" s="37">
        <v>1096.49</v>
      </c>
      <c r="F91" s="49">
        <v>925.112</v>
      </c>
      <c r="G91" s="50" t="s">
        <v>120</v>
      </c>
      <c r="H91" s="51" t="s">
        <v>120</v>
      </c>
      <c r="I91" s="51">
        <v>1</v>
      </c>
      <c r="J91" s="48"/>
      <c r="K91" s="48"/>
    </row>
    <row r="92" spans="1:11" ht="25.5">
      <c r="A92" s="34" t="s">
        <v>175</v>
      </c>
      <c r="B92" s="105" t="s">
        <v>145</v>
      </c>
      <c r="C92" s="36" t="s">
        <v>103</v>
      </c>
      <c r="D92" s="36" t="s">
        <v>51</v>
      </c>
      <c r="E92" s="37">
        <v>859.214</v>
      </c>
      <c r="F92" s="49">
        <v>754.803</v>
      </c>
      <c r="G92" s="50" t="s">
        <v>120</v>
      </c>
      <c r="H92" s="51" t="s">
        <v>120</v>
      </c>
      <c r="I92" s="51">
        <v>1</v>
      </c>
      <c r="J92" s="48"/>
      <c r="K92" s="48"/>
    </row>
    <row r="93" spans="1:11" ht="25.5">
      <c r="A93" s="34" t="s">
        <v>176</v>
      </c>
      <c r="B93" s="105" t="s">
        <v>146</v>
      </c>
      <c r="C93" s="36" t="s">
        <v>62</v>
      </c>
      <c r="D93" s="36" t="s">
        <v>51</v>
      </c>
      <c r="E93" s="37">
        <v>792.803</v>
      </c>
      <c r="F93" s="49">
        <v>682.449</v>
      </c>
      <c r="G93" s="50" t="s">
        <v>120</v>
      </c>
      <c r="H93" s="51" t="s">
        <v>120</v>
      </c>
      <c r="I93" s="51">
        <v>2</v>
      </c>
      <c r="J93" s="48"/>
      <c r="K93" s="48"/>
    </row>
    <row r="94" spans="1:11" ht="25.5">
      <c r="A94" s="34" t="s">
        <v>177</v>
      </c>
      <c r="B94" s="105" t="s">
        <v>147</v>
      </c>
      <c r="C94" s="36" t="s">
        <v>62</v>
      </c>
      <c r="D94" s="36" t="s">
        <v>62</v>
      </c>
      <c r="E94" s="37">
        <v>816.182</v>
      </c>
      <c r="F94" s="49">
        <v>694.748</v>
      </c>
      <c r="G94" s="50" t="s">
        <v>120</v>
      </c>
      <c r="H94" s="51" t="s">
        <v>120</v>
      </c>
      <c r="I94" s="51">
        <v>1</v>
      </c>
      <c r="J94" s="48"/>
      <c r="K94" s="48"/>
    </row>
    <row r="95" spans="1:11" ht="25.5">
      <c r="A95" s="34" t="s">
        <v>178</v>
      </c>
      <c r="B95" s="105" t="s">
        <v>148</v>
      </c>
      <c r="C95" s="36" t="s">
        <v>103</v>
      </c>
      <c r="D95" s="36" t="s">
        <v>51</v>
      </c>
      <c r="E95" s="37">
        <v>2232.485</v>
      </c>
      <c r="F95" s="49">
        <v>2059.237</v>
      </c>
      <c r="G95" s="50" t="s">
        <v>120</v>
      </c>
      <c r="H95" s="51" t="s">
        <v>120</v>
      </c>
      <c r="I95" s="51">
        <v>1</v>
      </c>
      <c r="J95" s="48"/>
      <c r="K95" s="48"/>
    </row>
    <row r="96" spans="1:11" ht="25.5">
      <c r="A96" s="34" t="s">
        <v>179</v>
      </c>
      <c r="B96" s="35" t="s">
        <v>149</v>
      </c>
      <c r="C96" s="36" t="s">
        <v>62</v>
      </c>
      <c r="D96" s="36" t="s">
        <v>183</v>
      </c>
      <c r="E96" s="37">
        <v>87350.08</v>
      </c>
      <c r="F96" s="49">
        <v>6040.72</v>
      </c>
      <c r="G96" s="50" t="s">
        <v>120</v>
      </c>
      <c r="H96" s="51" t="s">
        <v>120</v>
      </c>
      <c r="I96" s="51">
        <v>1</v>
      </c>
      <c r="J96" s="48"/>
      <c r="K96" s="48"/>
    </row>
    <row r="97" spans="1:11" ht="25.5">
      <c r="A97" s="34" t="s">
        <v>180</v>
      </c>
      <c r="B97" s="106" t="s">
        <v>200</v>
      </c>
      <c r="C97" s="36" t="s">
        <v>51</v>
      </c>
      <c r="D97" s="36" t="s">
        <v>51</v>
      </c>
      <c r="E97" s="37">
        <v>226.73</v>
      </c>
      <c r="F97" s="37">
        <v>226.73</v>
      </c>
      <c r="G97" s="50" t="s">
        <v>120</v>
      </c>
      <c r="H97" s="51" t="s">
        <v>120</v>
      </c>
      <c r="I97" s="51">
        <v>1</v>
      </c>
      <c r="J97" s="48"/>
      <c r="K97" s="48"/>
    </row>
    <row r="98" spans="1:11" ht="25.5">
      <c r="A98" s="34" t="s">
        <v>181</v>
      </c>
      <c r="B98" s="106" t="s">
        <v>201</v>
      </c>
      <c r="C98" s="36" t="s">
        <v>51</v>
      </c>
      <c r="D98" s="36" t="s">
        <v>51</v>
      </c>
      <c r="E98" s="37">
        <v>546.88</v>
      </c>
      <c r="F98" s="37">
        <v>546.88</v>
      </c>
      <c r="G98" s="50" t="s">
        <v>120</v>
      </c>
      <c r="H98" s="51" t="s">
        <v>120</v>
      </c>
      <c r="I98" s="51">
        <v>1</v>
      </c>
      <c r="J98" s="48"/>
      <c r="K98" s="48"/>
    </row>
    <row r="99" spans="1:11" ht="25.5">
      <c r="A99" s="34" t="s">
        <v>182</v>
      </c>
      <c r="B99" s="106" t="s">
        <v>202</v>
      </c>
      <c r="C99" s="36" t="s">
        <v>51</v>
      </c>
      <c r="D99" s="36" t="s">
        <v>51</v>
      </c>
      <c r="E99" s="37">
        <v>474.34</v>
      </c>
      <c r="F99" s="37">
        <v>474.34</v>
      </c>
      <c r="G99" s="50" t="s">
        <v>120</v>
      </c>
      <c r="H99" s="51" t="s">
        <v>120</v>
      </c>
      <c r="I99" s="51">
        <v>1</v>
      </c>
      <c r="J99" s="48"/>
      <c r="K99" s="48"/>
    </row>
    <row r="100" spans="1:11" ht="25.5">
      <c r="A100" s="34" t="s">
        <v>184</v>
      </c>
      <c r="B100" s="106" t="s">
        <v>203</v>
      </c>
      <c r="C100" s="36" t="s">
        <v>51</v>
      </c>
      <c r="D100" s="36" t="s">
        <v>51</v>
      </c>
      <c r="E100" s="37">
        <v>1290.41</v>
      </c>
      <c r="F100" s="37">
        <v>1290.41</v>
      </c>
      <c r="G100" s="50" t="s">
        <v>120</v>
      </c>
      <c r="H100" s="51" t="s">
        <v>120</v>
      </c>
      <c r="I100" s="51">
        <v>1</v>
      </c>
      <c r="J100" s="48"/>
      <c r="K100" s="48"/>
    </row>
    <row r="101" spans="1:11" ht="25.5">
      <c r="A101" s="34" t="s">
        <v>185</v>
      </c>
      <c r="B101" s="106" t="s">
        <v>204</v>
      </c>
      <c r="C101" s="36" t="s">
        <v>51</v>
      </c>
      <c r="D101" s="36" t="s">
        <v>51</v>
      </c>
      <c r="E101" s="37">
        <v>2193.52</v>
      </c>
      <c r="F101" s="37">
        <v>2193.52</v>
      </c>
      <c r="G101" s="50" t="s">
        <v>120</v>
      </c>
      <c r="H101" s="51" t="s">
        <v>120</v>
      </c>
      <c r="I101" s="51">
        <v>1</v>
      </c>
      <c r="J101" s="48"/>
      <c r="K101" s="48"/>
    </row>
    <row r="102" spans="1:11" ht="25.5">
      <c r="A102" s="34" t="s">
        <v>186</v>
      </c>
      <c r="B102" s="106" t="s">
        <v>205</v>
      </c>
      <c r="C102" s="36" t="s">
        <v>51</v>
      </c>
      <c r="D102" s="36" t="s">
        <v>51</v>
      </c>
      <c r="E102" s="37">
        <v>1061.16</v>
      </c>
      <c r="F102" s="37">
        <v>1061.16</v>
      </c>
      <c r="G102" s="50" t="s">
        <v>120</v>
      </c>
      <c r="H102" s="51" t="s">
        <v>120</v>
      </c>
      <c r="I102" s="51">
        <v>1</v>
      </c>
      <c r="J102" s="48"/>
      <c r="K102" s="48"/>
    </row>
    <row r="103" spans="1:11" ht="25.5">
      <c r="A103" s="34" t="s">
        <v>187</v>
      </c>
      <c r="B103" s="106" t="s">
        <v>206</v>
      </c>
      <c r="C103" s="36" t="s">
        <v>51</v>
      </c>
      <c r="D103" s="36" t="s">
        <v>51</v>
      </c>
      <c r="E103" s="37">
        <v>1510.96</v>
      </c>
      <c r="F103" s="37">
        <v>1510.96</v>
      </c>
      <c r="G103" s="50" t="s">
        <v>120</v>
      </c>
      <c r="H103" s="51" t="s">
        <v>120</v>
      </c>
      <c r="I103" s="51">
        <v>1</v>
      </c>
      <c r="J103" s="48"/>
      <c r="K103" s="48"/>
    </row>
    <row r="104" spans="1:11" ht="38.25">
      <c r="A104" s="34" t="s">
        <v>188</v>
      </c>
      <c r="B104" s="104" t="s">
        <v>150</v>
      </c>
      <c r="C104" s="36" t="s">
        <v>62</v>
      </c>
      <c r="D104" s="36" t="s">
        <v>51</v>
      </c>
      <c r="E104" s="37">
        <v>406.554</v>
      </c>
      <c r="F104" s="49">
        <v>406.554</v>
      </c>
      <c r="G104" s="50" t="s">
        <v>120</v>
      </c>
      <c r="H104" s="51" t="s">
        <v>120</v>
      </c>
      <c r="I104" s="51">
        <v>0</v>
      </c>
      <c r="J104" s="48"/>
      <c r="K104" s="48"/>
    </row>
    <row r="105" spans="1:11" ht="38.25">
      <c r="A105" s="34" t="s">
        <v>189</v>
      </c>
      <c r="B105" s="104" t="s">
        <v>151</v>
      </c>
      <c r="C105" s="36" t="s">
        <v>62</v>
      </c>
      <c r="D105" s="36" t="s">
        <v>51</v>
      </c>
      <c r="E105" s="37">
        <v>406.416</v>
      </c>
      <c r="F105" s="49">
        <v>406.416</v>
      </c>
      <c r="G105" s="50" t="s">
        <v>120</v>
      </c>
      <c r="H105" s="51" t="s">
        <v>120</v>
      </c>
      <c r="I105" s="51">
        <v>0</v>
      </c>
      <c r="J105" s="48"/>
      <c r="K105" s="48"/>
    </row>
    <row r="106" spans="1:11" ht="25.5">
      <c r="A106" s="34" t="s">
        <v>208</v>
      </c>
      <c r="B106" s="102" t="s">
        <v>191</v>
      </c>
      <c r="C106" s="36" t="s">
        <v>62</v>
      </c>
      <c r="D106" s="36" t="s">
        <v>51</v>
      </c>
      <c r="E106" s="37">
        <v>154</v>
      </c>
      <c r="F106" s="37">
        <v>140.605</v>
      </c>
      <c r="G106" s="59" t="s">
        <v>120</v>
      </c>
      <c r="H106" s="51" t="s">
        <v>120</v>
      </c>
      <c r="I106" s="60">
        <v>0</v>
      </c>
      <c r="J106" s="48"/>
      <c r="K106" s="48"/>
    </row>
    <row r="107" spans="1:11" ht="25.5">
      <c r="A107" s="34" t="s">
        <v>209</v>
      </c>
      <c r="B107" s="102" t="s">
        <v>192</v>
      </c>
      <c r="C107" s="36" t="s">
        <v>51</v>
      </c>
      <c r="D107" s="36" t="s">
        <v>113</v>
      </c>
      <c r="E107" s="37">
        <v>9877.12</v>
      </c>
      <c r="F107" s="37">
        <v>3715.948</v>
      </c>
      <c r="G107" s="59">
        <v>1.014</v>
      </c>
      <c r="H107" s="51">
        <v>160</v>
      </c>
      <c r="I107" s="60">
        <v>1</v>
      </c>
      <c r="J107" s="48"/>
      <c r="K107" s="48"/>
    </row>
    <row r="108" spans="1:11" ht="25.5">
      <c r="A108" s="34" t="s">
        <v>210</v>
      </c>
      <c r="B108" s="102" t="s">
        <v>193</v>
      </c>
      <c r="C108" s="36" t="s">
        <v>51</v>
      </c>
      <c r="D108" s="36" t="s">
        <v>113</v>
      </c>
      <c r="E108" s="37">
        <v>5693.82</v>
      </c>
      <c r="F108" s="37">
        <v>545.984</v>
      </c>
      <c r="G108" s="59">
        <v>1.667</v>
      </c>
      <c r="H108" s="51" t="s">
        <v>216</v>
      </c>
      <c r="I108" s="60">
        <v>0</v>
      </c>
      <c r="J108" s="48"/>
      <c r="K108" s="48"/>
    </row>
    <row r="109" spans="1:11" ht="25.5">
      <c r="A109" s="34" t="s">
        <v>211</v>
      </c>
      <c r="B109" s="102" t="s">
        <v>194</v>
      </c>
      <c r="C109" s="36" t="s">
        <v>51</v>
      </c>
      <c r="D109" s="36" t="s">
        <v>51</v>
      </c>
      <c r="E109" s="37">
        <v>245.565</v>
      </c>
      <c r="F109" s="37">
        <v>245.565</v>
      </c>
      <c r="G109" s="59" t="s">
        <v>120</v>
      </c>
      <c r="H109" s="51" t="s">
        <v>120</v>
      </c>
      <c r="I109" s="60">
        <v>0</v>
      </c>
      <c r="J109" s="48"/>
      <c r="K109" s="48"/>
    </row>
    <row r="110" spans="1:11" ht="25.5">
      <c r="A110" s="34" t="s">
        <v>212</v>
      </c>
      <c r="B110" s="61" t="s">
        <v>195</v>
      </c>
      <c r="C110" s="36" t="s">
        <v>51</v>
      </c>
      <c r="D110" s="36" t="s">
        <v>51</v>
      </c>
      <c r="E110" s="37">
        <v>399.668</v>
      </c>
      <c r="F110" s="37">
        <v>399.668</v>
      </c>
      <c r="G110" s="59">
        <v>0.27</v>
      </c>
      <c r="H110" s="51" t="s">
        <v>197</v>
      </c>
      <c r="I110" s="60">
        <v>0</v>
      </c>
      <c r="J110" s="48"/>
      <c r="K110" s="48"/>
    </row>
    <row r="111" spans="1:11" ht="24" customHeight="1">
      <c r="A111" s="34" t="s">
        <v>213</v>
      </c>
      <c r="B111" s="61" t="s">
        <v>196</v>
      </c>
      <c r="C111" s="36" t="s">
        <v>51</v>
      </c>
      <c r="D111" s="36" t="s">
        <v>51</v>
      </c>
      <c r="E111" s="37">
        <v>843.646</v>
      </c>
      <c r="F111" s="37">
        <v>843.646</v>
      </c>
      <c r="G111" s="59" t="s">
        <v>120</v>
      </c>
      <c r="H111" s="51" t="s">
        <v>120</v>
      </c>
      <c r="I111" s="60">
        <v>1</v>
      </c>
      <c r="J111" s="48"/>
      <c r="K111" s="48"/>
    </row>
    <row r="112" spans="1:11" ht="38.25">
      <c r="A112" s="34" t="s">
        <v>214</v>
      </c>
      <c r="B112" s="61" t="s">
        <v>199</v>
      </c>
      <c r="C112" s="36" t="s">
        <v>51</v>
      </c>
      <c r="D112" s="36" t="s">
        <v>51</v>
      </c>
      <c r="E112" s="37">
        <v>298.18</v>
      </c>
      <c r="F112" s="37">
        <v>298.18</v>
      </c>
      <c r="G112" s="59" t="s">
        <v>120</v>
      </c>
      <c r="H112" s="51" t="s">
        <v>120</v>
      </c>
      <c r="I112" s="60">
        <v>0</v>
      </c>
      <c r="J112" s="48"/>
      <c r="K112" s="48"/>
    </row>
    <row r="113" spans="1:11" ht="25.5">
      <c r="A113" s="34" t="s">
        <v>215</v>
      </c>
      <c r="B113" s="102" t="s">
        <v>207</v>
      </c>
      <c r="C113" s="36" t="s">
        <v>51</v>
      </c>
      <c r="D113" s="36" t="s">
        <v>51</v>
      </c>
      <c r="E113" s="37">
        <v>742.97</v>
      </c>
      <c r="F113" s="37">
        <v>742.97</v>
      </c>
      <c r="G113" s="59" t="s">
        <v>120</v>
      </c>
      <c r="H113" s="51" t="s">
        <v>120</v>
      </c>
      <c r="I113" s="60">
        <v>1</v>
      </c>
      <c r="J113" s="48"/>
      <c r="K113" s="48"/>
    </row>
    <row r="114" spans="1:11" ht="12.75">
      <c r="A114" s="34"/>
      <c r="B114" s="61"/>
      <c r="C114" s="36"/>
      <c r="D114" s="36"/>
      <c r="E114" s="37"/>
      <c r="F114" s="37"/>
      <c r="G114" s="60"/>
      <c r="H114" s="62"/>
      <c r="I114" s="60"/>
      <c r="J114" s="48"/>
      <c r="K114" s="48"/>
    </row>
    <row r="115" spans="1:11" ht="12.75">
      <c r="A115" s="25"/>
      <c r="B115" s="26" t="s">
        <v>22</v>
      </c>
      <c r="C115" s="63"/>
      <c r="D115" s="63"/>
      <c r="E115" s="28">
        <f>3642.912+1200</f>
        <v>4842.912</v>
      </c>
      <c r="F115" s="28">
        <f>4932.46+150</f>
        <v>5082.46</v>
      </c>
      <c r="G115" s="53"/>
      <c r="H115" s="53"/>
      <c r="I115" s="53"/>
      <c r="J115" s="48"/>
      <c r="K115" s="48"/>
    </row>
    <row r="116" spans="1:11" ht="12.75">
      <c r="A116" s="25"/>
      <c r="B116" s="26" t="s">
        <v>23</v>
      </c>
      <c r="C116" s="27"/>
      <c r="D116" s="27"/>
      <c r="E116" s="28">
        <f>SUM(E117:E137)</f>
        <v>250187.02000000002</v>
      </c>
      <c r="F116" s="28">
        <f>SUM(F117:F137)</f>
        <v>141001.12</v>
      </c>
      <c r="G116" s="53"/>
      <c r="H116" s="53"/>
      <c r="I116" s="53"/>
      <c r="J116" s="48"/>
      <c r="K116" s="48"/>
    </row>
    <row r="117" spans="1:11" ht="25.5">
      <c r="A117" s="110" t="s">
        <v>231</v>
      </c>
      <c r="B117" s="109" t="s">
        <v>232</v>
      </c>
      <c r="C117" s="121" t="s">
        <v>283</v>
      </c>
      <c r="D117" s="121" t="s">
        <v>283</v>
      </c>
      <c r="E117" s="113">
        <v>8</v>
      </c>
      <c r="F117" s="113">
        <f>ROUND(9.88*0.8,0)</f>
        <v>8</v>
      </c>
      <c r="G117" s="82"/>
      <c r="H117" s="82"/>
      <c r="I117" s="82"/>
      <c r="J117" s="48"/>
      <c r="K117" s="48"/>
    </row>
    <row r="118" spans="1:11" ht="25.5">
      <c r="A118" s="110" t="s">
        <v>233</v>
      </c>
      <c r="B118" s="109" t="s">
        <v>234</v>
      </c>
      <c r="C118" s="121" t="s">
        <v>283</v>
      </c>
      <c r="D118" s="121" t="s">
        <v>283</v>
      </c>
      <c r="E118" s="113">
        <v>8</v>
      </c>
      <c r="F118" s="113">
        <f>ROUND(9.88*0.8,0)</f>
        <v>8</v>
      </c>
      <c r="G118" s="82"/>
      <c r="H118" s="82"/>
      <c r="I118" s="82"/>
      <c r="J118" s="48"/>
      <c r="K118" s="48"/>
    </row>
    <row r="119" spans="1:11" ht="25.5">
      <c r="A119" s="110" t="s">
        <v>235</v>
      </c>
      <c r="B119" s="109" t="s">
        <v>236</v>
      </c>
      <c r="C119" s="121" t="s">
        <v>61</v>
      </c>
      <c r="D119" s="121" t="s">
        <v>285</v>
      </c>
      <c r="E119" s="37">
        <v>786</v>
      </c>
      <c r="F119" s="114">
        <f>ROUND(982.67*0.8,0)</f>
        <v>786</v>
      </c>
      <c r="G119" s="82"/>
      <c r="H119" s="82"/>
      <c r="I119" s="82"/>
      <c r="J119" s="48"/>
      <c r="K119" s="48"/>
    </row>
    <row r="120" spans="1:9" ht="25.5">
      <c r="A120" s="110" t="s">
        <v>237</v>
      </c>
      <c r="B120" s="109" t="s">
        <v>238</v>
      </c>
      <c r="C120" s="121" t="s">
        <v>103</v>
      </c>
      <c r="D120" s="55" t="s">
        <v>286</v>
      </c>
      <c r="E120" s="113">
        <f>ROUND(43917.46*0.8,0)</f>
        <v>35134</v>
      </c>
      <c r="F120" s="114">
        <f>ROUND((665.42+42271.62)*0.8,0)</f>
        <v>34350</v>
      </c>
      <c r="G120" s="56"/>
      <c r="H120" s="56"/>
      <c r="I120" s="56"/>
    </row>
    <row r="121" spans="1:9" ht="25.5">
      <c r="A121" s="110" t="s">
        <v>239</v>
      </c>
      <c r="B121" s="109" t="s">
        <v>240</v>
      </c>
      <c r="C121" s="121" t="s">
        <v>283</v>
      </c>
      <c r="D121" s="55" t="s">
        <v>287</v>
      </c>
      <c r="E121" s="113">
        <v>51252.33</v>
      </c>
      <c r="F121" s="114">
        <f>446.93+40469.13</f>
        <v>40916.06</v>
      </c>
      <c r="G121" s="56"/>
      <c r="H121" s="56"/>
      <c r="I121" s="56"/>
    </row>
    <row r="122" spans="1:9" ht="25.5">
      <c r="A122" s="110" t="s">
        <v>241</v>
      </c>
      <c r="B122" s="109" t="s">
        <v>242</v>
      </c>
      <c r="C122" s="121" t="s">
        <v>300</v>
      </c>
      <c r="D122" s="55" t="s">
        <v>289</v>
      </c>
      <c r="E122" s="113">
        <f>ROUND(39041.23*0.768,0)</f>
        <v>29984</v>
      </c>
      <c r="F122" s="114">
        <f>ROUND((562.14+21867.82)*0.768,0)</f>
        <v>17226</v>
      </c>
      <c r="G122" s="56"/>
      <c r="H122" s="56"/>
      <c r="I122" s="56"/>
    </row>
    <row r="123" spans="1:9" ht="38.25">
      <c r="A123" s="110" t="s">
        <v>243</v>
      </c>
      <c r="B123" s="109" t="s">
        <v>280</v>
      </c>
      <c r="C123" s="121" t="s">
        <v>292</v>
      </c>
      <c r="D123" s="55" t="s">
        <v>297</v>
      </c>
      <c r="E123" s="37">
        <f>ROUND(25930.64*0.768,0)</f>
        <v>19915</v>
      </c>
      <c r="F123" s="114">
        <f>ROUND(2.85*0.768,0)</f>
        <v>2</v>
      </c>
      <c r="G123" s="56"/>
      <c r="H123" s="56"/>
      <c r="I123" s="56"/>
    </row>
    <row r="124" spans="1:9" ht="25.5">
      <c r="A124" s="110" t="s">
        <v>244</v>
      </c>
      <c r="B124" s="109" t="s">
        <v>245</v>
      </c>
      <c r="C124" s="121" t="s">
        <v>61</v>
      </c>
      <c r="D124" s="121" t="s">
        <v>285</v>
      </c>
      <c r="E124" s="113" t="s">
        <v>301</v>
      </c>
      <c r="F124" s="49">
        <f>ROUND((255.34+2476.21)*0.8,0)</f>
        <v>2185</v>
      </c>
      <c r="G124" s="56"/>
      <c r="H124" s="56"/>
      <c r="I124" s="56"/>
    </row>
    <row r="125" spans="1:9" ht="25.5">
      <c r="A125" s="110" t="s">
        <v>246</v>
      </c>
      <c r="B125" s="109" t="s">
        <v>247</v>
      </c>
      <c r="C125" s="121" t="s">
        <v>285</v>
      </c>
      <c r="D125" s="55" t="s">
        <v>297</v>
      </c>
      <c r="E125" s="113">
        <f>ROUND(1523.32*0.768,0)</f>
        <v>1170</v>
      </c>
      <c r="F125" s="37">
        <f>ROUND((116.67+207.87)*0.768,0)</f>
        <v>249</v>
      </c>
      <c r="G125" s="56"/>
      <c r="H125" s="56"/>
      <c r="I125" s="56"/>
    </row>
    <row r="126" spans="1:9" ht="25.5">
      <c r="A126" s="110" t="s">
        <v>248</v>
      </c>
      <c r="B126" s="109" t="s">
        <v>249</v>
      </c>
      <c r="C126" s="121" t="s">
        <v>288</v>
      </c>
      <c r="D126" s="121" t="s">
        <v>285</v>
      </c>
      <c r="E126" s="113">
        <v>1283.54</v>
      </c>
      <c r="F126" s="49">
        <f>118.22+1126.44</f>
        <v>1244.66</v>
      </c>
      <c r="G126" s="56"/>
      <c r="H126" s="56"/>
      <c r="I126" s="56"/>
    </row>
    <row r="127" spans="1:9" ht="25.5">
      <c r="A127" s="110" t="s">
        <v>250</v>
      </c>
      <c r="B127" s="109" t="s">
        <v>251</v>
      </c>
      <c r="C127" s="121" t="s">
        <v>288</v>
      </c>
      <c r="D127" s="121" t="s">
        <v>285</v>
      </c>
      <c r="E127" s="113">
        <f>ROUND(3993.44*0.768,0)</f>
        <v>3067</v>
      </c>
      <c r="F127" s="37">
        <f>ROUND((165.94+3682.75)*0.768,0)</f>
        <v>2956</v>
      </c>
      <c r="G127" s="56"/>
      <c r="H127" s="56"/>
      <c r="I127" s="56"/>
    </row>
    <row r="128" spans="1:9" s="74" customFormat="1" ht="37.5" customHeight="1">
      <c r="A128" s="110" t="s">
        <v>252</v>
      </c>
      <c r="B128" s="35" t="s">
        <v>253</v>
      </c>
      <c r="C128" s="121" t="s">
        <v>288</v>
      </c>
      <c r="D128" s="121" t="s">
        <v>285</v>
      </c>
      <c r="E128" s="113">
        <v>366</v>
      </c>
      <c r="F128" s="37">
        <f>ROUND((44.85+431.27)*0.768,0)</f>
        <v>366</v>
      </c>
      <c r="G128" s="56"/>
      <c r="H128" s="56"/>
      <c r="I128" s="56"/>
    </row>
    <row r="129" spans="1:9" s="75" customFormat="1" ht="26.25">
      <c r="A129" s="110" t="s">
        <v>254</v>
      </c>
      <c r="B129" s="35" t="s">
        <v>255</v>
      </c>
      <c r="C129" s="55" t="s">
        <v>85</v>
      </c>
      <c r="D129" s="55" t="s">
        <v>287</v>
      </c>
      <c r="E129" s="113">
        <f>ROUND(15731*0.8,0)</f>
        <v>12585</v>
      </c>
      <c r="F129" s="49">
        <f>ROUND(5.24*0.8,0)</f>
        <v>4</v>
      </c>
      <c r="G129" s="56"/>
      <c r="H129" s="56"/>
      <c r="I129" s="56"/>
    </row>
    <row r="130" spans="1:9" s="75" customFormat="1" ht="28.5" customHeight="1">
      <c r="A130" s="110" t="s">
        <v>256</v>
      </c>
      <c r="B130" s="119" t="s">
        <v>257</v>
      </c>
      <c r="C130" s="121" t="s">
        <v>290</v>
      </c>
      <c r="D130" s="121" t="s">
        <v>290</v>
      </c>
      <c r="E130" s="113">
        <v>307</v>
      </c>
      <c r="F130" s="49">
        <f>ROUND((10+389.17)*0.768,0)</f>
        <v>307</v>
      </c>
      <c r="G130" s="56"/>
      <c r="H130" s="56"/>
      <c r="I130" s="56"/>
    </row>
    <row r="131" spans="1:11" s="75" customFormat="1" ht="33.75" customHeight="1">
      <c r="A131" s="110" t="s">
        <v>258</v>
      </c>
      <c r="B131" s="119" t="s">
        <v>259</v>
      </c>
      <c r="C131" s="121" t="s">
        <v>285</v>
      </c>
      <c r="D131" s="121" t="s">
        <v>285</v>
      </c>
      <c r="E131" s="113">
        <v>174</v>
      </c>
      <c r="F131" s="49">
        <f>ROUND((10+207.71)*0.8,0)</f>
        <v>174</v>
      </c>
      <c r="G131" s="56"/>
      <c r="H131" s="56"/>
      <c r="I131" s="56"/>
      <c r="J131" s="79"/>
      <c r="K131" s="79"/>
    </row>
    <row r="132" spans="1:9" s="75" customFormat="1" ht="32.25" customHeight="1">
      <c r="A132" s="120" t="s">
        <v>268</v>
      </c>
      <c r="B132" s="96" t="s">
        <v>279</v>
      </c>
      <c r="C132" s="121" t="s">
        <v>97</v>
      </c>
      <c r="D132" s="121" t="s">
        <v>285</v>
      </c>
      <c r="E132" s="37">
        <f>ROUND(72735.46*0.768,0)</f>
        <v>55861</v>
      </c>
      <c r="F132" s="49">
        <f>ROUND(40383.78*0.768,0)</f>
        <v>31015</v>
      </c>
      <c r="G132" s="56"/>
      <c r="H132" s="56"/>
      <c r="I132" s="56"/>
    </row>
    <row r="133" spans="1:11" s="75" customFormat="1" ht="36" customHeight="1">
      <c r="A133" s="120" t="s">
        <v>269</v>
      </c>
      <c r="B133" s="96" t="s">
        <v>270</v>
      </c>
      <c r="C133" s="121" t="s">
        <v>97</v>
      </c>
      <c r="D133" s="121" t="s">
        <v>298</v>
      </c>
      <c r="E133" s="37">
        <f>ROUND(8569.81*0.768,0)</f>
        <v>6582</v>
      </c>
      <c r="F133" s="115">
        <f>ROUND(2169.5*0.768,0)</f>
        <v>1666</v>
      </c>
      <c r="G133" s="56"/>
      <c r="H133" s="56"/>
      <c r="I133" s="56"/>
      <c r="J133" s="79"/>
      <c r="K133" s="79"/>
    </row>
    <row r="134" spans="1:11" s="75" customFormat="1" ht="36" customHeight="1">
      <c r="A134" s="120" t="s">
        <v>271</v>
      </c>
      <c r="B134" s="96" t="s">
        <v>272</v>
      </c>
      <c r="C134" s="121" t="s">
        <v>97</v>
      </c>
      <c r="D134" s="121" t="s">
        <v>298</v>
      </c>
      <c r="E134" s="37">
        <f>ROUND(27120.68*0.768,0)</f>
        <v>20829</v>
      </c>
      <c r="F134" s="115">
        <f>ROUND(7243.9*0.768,0)</f>
        <v>5563</v>
      </c>
      <c r="G134" s="56"/>
      <c r="H134" s="56"/>
      <c r="I134" s="56"/>
      <c r="J134" s="79"/>
      <c r="K134" s="79"/>
    </row>
    <row r="135" spans="1:11" s="75" customFormat="1" ht="36" customHeight="1">
      <c r="A135" s="120" t="s">
        <v>273</v>
      </c>
      <c r="B135" s="96" t="s">
        <v>274</v>
      </c>
      <c r="C135" s="36" t="s">
        <v>282</v>
      </c>
      <c r="D135" s="36" t="s">
        <v>62</v>
      </c>
      <c r="E135" s="37">
        <v>6103.15</v>
      </c>
      <c r="F135" s="115">
        <v>1569.4</v>
      </c>
      <c r="G135" s="56"/>
      <c r="H135" s="56"/>
      <c r="I135" s="56"/>
      <c r="J135" s="79"/>
      <c r="K135" s="79"/>
    </row>
    <row r="136" spans="1:11" s="75" customFormat="1" ht="36" customHeight="1">
      <c r="A136" s="120" t="s">
        <v>275</v>
      </c>
      <c r="B136" s="109" t="s">
        <v>276</v>
      </c>
      <c r="C136" s="121" t="s">
        <v>97</v>
      </c>
      <c r="D136" s="121" t="s">
        <v>285</v>
      </c>
      <c r="E136" s="37">
        <f>ROUND(3162.06*0.768,0)</f>
        <v>2428</v>
      </c>
      <c r="F136" s="115">
        <f>ROUND(276*0.768,0)</f>
        <v>212</v>
      </c>
      <c r="G136" s="56"/>
      <c r="H136" s="56"/>
      <c r="I136" s="56"/>
      <c r="J136" s="79"/>
      <c r="K136" s="79"/>
    </row>
    <row r="137" spans="1:11" s="75" customFormat="1" ht="36" customHeight="1">
      <c r="A137" s="120" t="s">
        <v>277</v>
      </c>
      <c r="B137" s="109" t="s">
        <v>278</v>
      </c>
      <c r="C137" s="121" t="s">
        <v>97</v>
      </c>
      <c r="D137" s="121" t="s">
        <v>285</v>
      </c>
      <c r="E137" s="37">
        <f>ROUND(3052.5*0.768,0)</f>
        <v>2344</v>
      </c>
      <c r="F137" s="115">
        <f>ROUND(251.96*0.768,0)</f>
        <v>194</v>
      </c>
      <c r="G137" s="56"/>
      <c r="H137" s="56"/>
      <c r="I137" s="56"/>
      <c r="J137" s="79"/>
      <c r="K137" s="79"/>
    </row>
    <row r="138" spans="1:11" s="75" customFormat="1" ht="26.25" customHeight="1">
      <c r="A138" s="34"/>
      <c r="B138" s="35"/>
      <c r="C138" s="57"/>
      <c r="D138" s="57"/>
      <c r="E138" s="40"/>
      <c r="F138" s="42"/>
      <c r="G138" s="56"/>
      <c r="H138" s="56"/>
      <c r="I138" s="56"/>
      <c r="J138" s="79"/>
      <c r="K138" s="79"/>
    </row>
    <row r="139" spans="1:9" ht="25.5" customHeight="1">
      <c r="A139" s="21" t="s">
        <v>27</v>
      </c>
      <c r="B139" s="23" t="s">
        <v>28</v>
      </c>
      <c r="C139" s="64"/>
      <c r="D139" s="64"/>
      <c r="E139" s="24"/>
      <c r="F139" s="24"/>
      <c r="G139" s="64"/>
      <c r="H139" s="64"/>
      <c r="I139" s="64"/>
    </row>
    <row r="140" spans="1:9" ht="21.75" customHeight="1">
      <c r="A140" s="21" t="s">
        <v>29</v>
      </c>
      <c r="B140" s="65" t="s">
        <v>30</v>
      </c>
      <c r="C140" s="64"/>
      <c r="D140" s="64"/>
      <c r="E140" s="66"/>
      <c r="F140" s="24">
        <f>SUM(F141:F145)</f>
        <v>67954</v>
      </c>
      <c r="G140" s="64"/>
      <c r="H140" s="64"/>
      <c r="I140" s="64"/>
    </row>
    <row r="141" spans="1:9" ht="12.75">
      <c r="A141" s="17" t="s">
        <v>31</v>
      </c>
      <c r="B141" s="67" t="s">
        <v>32</v>
      </c>
      <c r="C141" s="56"/>
      <c r="D141" s="56"/>
      <c r="E141" s="68"/>
      <c r="F141" s="69"/>
      <c r="G141" s="56"/>
      <c r="H141" s="56"/>
      <c r="I141" s="56"/>
    </row>
    <row r="142" spans="1:9" ht="12.75">
      <c r="A142" s="17" t="s">
        <v>33</v>
      </c>
      <c r="B142" s="67" t="s">
        <v>34</v>
      </c>
      <c r="C142" s="56"/>
      <c r="D142" s="56"/>
      <c r="E142" s="68"/>
      <c r="F142" s="69"/>
      <c r="G142" s="56"/>
      <c r="H142" s="56"/>
      <c r="I142" s="56"/>
    </row>
    <row r="143" spans="1:9" ht="12.75">
      <c r="A143" s="17" t="s">
        <v>35</v>
      </c>
      <c r="B143" s="67" t="s">
        <v>36</v>
      </c>
      <c r="C143" s="56"/>
      <c r="D143" s="56"/>
      <c r="E143" s="68"/>
      <c r="F143" s="69">
        <f>ROUND(43889649/1000,0)</f>
        <v>43890</v>
      </c>
      <c r="G143" s="56"/>
      <c r="H143" s="56"/>
      <c r="I143" s="56"/>
    </row>
    <row r="144" spans="1:9" ht="12.75">
      <c r="A144" s="17" t="s">
        <v>37</v>
      </c>
      <c r="B144" s="67" t="s">
        <v>38</v>
      </c>
      <c r="C144" s="56"/>
      <c r="D144" s="56"/>
      <c r="E144" s="68"/>
      <c r="F144" s="69">
        <f>ROUND((3634802.7+773065.32+3331719.74+1178643)/1000,0)</f>
        <v>8918</v>
      </c>
      <c r="G144" s="56"/>
      <c r="H144" s="56"/>
      <c r="I144" s="56"/>
    </row>
    <row r="145" spans="1:9" ht="12.75">
      <c r="A145" s="17" t="s">
        <v>39</v>
      </c>
      <c r="B145" s="67" t="s">
        <v>40</v>
      </c>
      <c r="C145" s="56"/>
      <c r="D145" s="56"/>
      <c r="E145" s="68"/>
      <c r="F145" s="69">
        <v>15146</v>
      </c>
      <c r="G145" s="56"/>
      <c r="H145" s="56"/>
      <c r="I145" s="56"/>
    </row>
    <row r="146" spans="1:9" ht="12.75">
      <c r="A146" s="70"/>
      <c r="B146" s="71"/>
      <c r="C146" s="72"/>
      <c r="D146" s="72"/>
      <c r="E146" s="72"/>
      <c r="F146" s="73"/>
      <c r="G146" s="72"/>
      <c r="H146" s="72"/>
      <c r="I146" s="72"/>
    </row>
    <row r="147" spans="1:9" ht="15.75">
      <c r="A147" s="128" t="s">
        <v>41</v>
      </c>
      <c r="B147" s="128"/>
      <c r="C147" s="128"/>
      <c r="D147" s="128"/>
      <c r="E147" s="128"/>
      <c r="F147" s="128"/>
      <c r="G147" s="128"/>
      <c r="H147" s="128"/>
      <c r="I147" s="128"/>
    </row>
    <row r="148" spans="1:9" ht="15.75">
      <c r="A148" s="75" t="s">
        <v>42</v>
      </c>
      <c r="B148" s="76"/>
      <c r="C148" s="77"/>
      <c r="D148" s="77"/>
      <c r="E148" s="77"/>
      <c r="F148" s="75"/>
      <c r="G148" s="75"/>
      <c r="H148" s="75"/>
      <c r="I148" s="75"/>
    </row>
    <row r="149" spans="1:9" ht="15.75">
      <c r="A149" s="129" t="s">
        <v>43</v>
      </c>
      <c r="B149" s="129"/>
      <c r="C149" s="129"/>
      <c r="D149" s="129"/>
      <c r="E149" s="129"/>
      <c r="F149" s="129"/>
      <c r="G149" s="129"/>
      <c r="H149" s="129"/>
      <c r="I149" s="129"/>
    </row>
    <row r="150" spans="1:9" ht="15.75">
      <c r="A150" s="129" t="s">
        <v>44</v>
      </c>
      <c r="B150" s="129"/>
      <c r="C150" s="129"/>
      <c r="D150" s="129"/>
      <c r="E150" s="129"/>
      <c r="F150" s="129"/>
      <c r="G150" s="129"/>
      <c r="H150" s="129"/>
      <c r="I150" s="129"/>
    </row>
    <row r="151" spans="1:9" ht="15.75">
      <c r="A151" s="129" t="s">
        <v>45</v>
      </c>
      <c r="B151" s="129"/>
      <c r="C151" s="129"/>
      <c r="D151" s="129"/>
      <c r="E151" s="129"/>
      <c r="F151" s="129"/>
      <c r="G151" s="129"/>
      <c r="H151" s="129"/>
      <c r="I151" s="129"/>
    </row>
    <row r="152" spans="1:9" ht="15.75">
      <c r="A152" s="129" t="s">
        <v>46</v>
      </c>
      <c r="B152" s="129"/>
      <c r="C152" s="129"/>
      <c r="D152" s="129"/>
      <c r="E152" s="129"/>
      <c r="F152" s="129"/>
      <c r="G152" s="129"/>
      <c r="H152" s="129"/>
      <c r="I152" s="129"/>
    </row>
    <row r="153" spans="1:9" ht="15.75">
      <c r="A153" s="78"/>
      <c r="B153" s="78"/>
      <c r="C153" s="78"/>
      <c r="D153" s="78"/>
      <c r="E153" s="78"/>
      <c r="F153" s="78"/>
      <c r="G153" s="78"/>
      <c r="H153" s="78"/>
      <c r="I153" s="78"/>
    </row>
    <row r="159" spans="5:9" s="125" customFormat="1" ht="23.25">
      <c r="E159" s="126"/>
      <c r="I159" s="127"/>
    </row>
  </sheetData>
  <sheetProtection/>
  <mergeCells count="13">
    <mergeCell ref="A8:I8"/>
    <mergeCell ref="A9:I9"/>
    <mergeCell ref="A10:I10"/>
    <mergeCell ref="A12:A13"/>
    <mergeCell ref="B12:B13"/>
    <mergeCell ref="C12:D12"/>
    <mergeCell ref="E12:F12"/>
    <mergeCell ref="G12:I12"/>
    <mergeCell ref="A147:I147"/>
    <mergeCell ref="A149:I149"/>
    <mergeCell ref="A150:I150"/>
    <mergeCell ref="A151:I151"/>
    <mergeCell ref="A152:I152"/>
  </mergeCells>
  <printOptions/>
  <pageMargins left="0.7874015748031497" right="0.1968503937007874" top="0.3937007874015748" bottom="0.3937007874015748" header="0" footer="0"/>
  <pageSetup fitToHeight="3" fitToWidth="1" horizontalDpi="600" verticalDpi="600" orientation="portrait" paperSize="9" scale="58" r:id="rId1"/>
  <headerFooter alignWithMargins="0">
    <evenHeader>&amp;R&amp;"Times New Roman,обычный"&amp;14 6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Хицкова Елена Владимировна</cp:lastModifiedBy>
  <cp:lastPrinted>2016-04-08T12:27:22Z</cp:lastPrinted>
  <dcterms:created xsi:type="dcterms:W3CDTF">2015-04-06T05:52:41Z</dcterms:created>
  <dcterms:modified xsi:type="dcterms:W3CDTF">2016-04-08T12:45:44Z</dcterms:modified>
  <cp:category/>
  <cp:version/>
  <cp:contentType/>
  <cp:contentStatus/>
</cp:coreProperties>
</file>