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П4 инвестиции " sheetId="1" r:id="rId1"/>
  </sheets>
  <definedNames>
    <definedName name="_xlnm.Print_Titles" localSheetId="0">'П4 инвестиции '!$9:$11</definedName>
    <definedName name="_xlnm.Print_Area" localSheetId="0">'П4 инвестиции '!$A$1:$I$232</definedName>
  </definedNames>
  <calcPr fullCalcOnLoad="1"/>
</workbook>
</file>

<file path=xl/sharedStrings.xml><?xml version="1.0" encoding="utf-8"?>
<sst xmlns="http://schemas.openxmlformats.org/spreadsheetml/2006/main" count="781" uniqueCount="333">
  <si>
    <t>Приложение 4б</t>
  </si>
  <si>
    <t xml:space="preserve">к приказу ФСТ России от 31 января 2011 г. № 36-э </t>
  </si>
  <si>
    <t>Информация об инвестиционных программах ОАО "Воронежоблгаз" за 2011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</si>
  <si>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</si>
  <si>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</si>
  <si>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</si>
  <si>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</si>
  <si>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</si>
  <si>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</si>
  <si>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</si>
  <si>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</si>
  <si>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</si>
  <si>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</si>
  <si>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</si>
  <si>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</si>
  <si>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</si>
  <si>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</si>
  <si>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</si>
  <si>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</si>
  <si>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</si>
  <si>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</si>
  <si>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</si>
  <si>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 (спецнадбавка)</t>
  </si>
  <si>
    <t xml:space="preserve">Газопровод высокого давления  к с.Старая Тойда Аннинского района </t>
  </si>
  <si>
    <t>I кв. 2011</t>
  </si>
  <si>
    <t xml:space="preserve">III кв. 2011 </t>
  </si>
  <si>
    <t>d 57,63,110,162</t>
  </si>
  <si>
    <t>ГРПШ-8 шт.</t>
  </si>
  <si>
    <t>Газопровод высокого давления для перевода потребителей г.Боброва на отдельный выход из АГРС</t>
  </si>
  <si>
    <t>II кв. 2011</t>
  </si>
  <si>
    <t>I кв. 2012</t>
  </si>
  <si>
    <t>d 219,325,426</t>
  </si>
  <si>
    <t>Газоснабжение ул.Терновка в с.Пузево Бутурлиновского муниципального района (газопровод среднего давления до ШРП №3,4)</t>
  </si>
  <si>
    <t>III кв. 2011</t>
  </si>
  <si>
    <t>d 90</t>
  </si>
  <si>
    <t>ГСГО-2 шт.</t>
  </si>
  <si>
    <t>Межпоселковый газопровод высокого давления для газификации сел Карайчевка и Пирамида Бутурлиновского района</t>
  </si>
  <si>
    <t>d 63,90,110</t>
  </si>
  <si>
    <t>ГРПШ-1 шт.,                          ПГБ-2 шт.</t>
  </si>
  <si>
    <t>Газораспределительные сети в с.Дерезовка и х.Оробинск Верхнемамонского района</t>
  </si>
  <si>
    <t>d 76,89</t>
  </si>
  <si>
    <t>ГРПШ-2 шт.</t>
  </si>
  <si>
    <t>Сети газоснабжения центральной усадьбы ФГУ "Воронежский государственный природный биосферный заповедник" Верхнехавского района</t>
  </si>
  <si>
    <t>IV кв. 2010</t>
  </si>
  <si>
    <t>d57,159,63,90,110,160</t>
  </si>
  <si>
    <t>ГРПШ- 1 шт.</t>
  </si>
  <si>
    <t xml:space="preserve">Газопровод среднего давления с.Васильевка Грибановского района  </t>
  </si>
  <si>
    <t xml:space="preserve">II кв. 2011 </t>
  </si>
  <si>
    <t>d 63,90</t>
  </si>
  <si>
    <t>ГРПШ-9 шт.</t>
  </si>
  <si>
    <t>Газоснабжение х.Грушовый Калачеевского района</t>
  </si>
  <si>
    <t>d 63</t>
  </si>
  <si>
    <t>Газопроводы по с.Зайцевка Кантемировского района (газопровод низкого давления)</t>
  </si>
  <si>
    <t xml:space="preserve">I кв. 2011 </t>
  </si>
  <si>
    <t>d 57,76</t>
  </si>
  <si>
    <t>Газоснабжение жилых домов по ул.Заводская и пер.Заводской Кантемировского района (газопровод высокого давления)</t>
  </si>
  <si>
    <t>d 57,63</t>
  </si>
  <si>
    <t>Газопровод высокого и среднего давлекния в пос.Некрылово Новохоперского района</t>
  </si>
  <si>
    <t>ГРПШ- 4 шт.</t>
  </si>
  <si>
    <t xml:space="preserve">Газопровод среднего и низкого давления к котельной пекарни с.Шуберское Новоусманского района  </t>
  </si>
  <si>
    <t>IV кв. 2011</t>
  </si>
  <si>
    <t>d 89</t>
  </si>
  <si>
    <t>Газопровод высокого давления с.Нижнее Турово  Нижнедевицкого  района</t>
  </si>
  <si>
    <t>II кв. 2012</t>
  </si>
  <si>
    <t>d 160</t>
  </si>
  <si>
    <t>Газопровод среднего  давления (2 очередь) в р.п.Панино ул.Пролетарская,Колхозная,9 Января, Лермонтова, Советская Панинского района</t>
  </si>
  <si>
    <t>d 89,90,110</t>
  </si>
  <si>
    <t>Газопровод высокого  давления с установкой ГРП №5 и ШРП № 16, газопровод среднего давления с установкой ШРП № 7 и котельной СОШ, газопровод низкого давления в р.п.Панино Панинского района</t>
  </si>
  <si>
    <t>III кв. 2010</t>
  </si>
  <si>
    <t>d 57,89,159,219, 63,90,110,160,225</t>
  </si>
  <si>
    <t>ГРПШ- 2 шт.,            ГРПМ - 1 шт.</t>
  </si>
  <si>
    <t>Газопровод высокого давления с.Березки-х.Поддубный Павловского района</t>
  </si>
  <si>
    <t>ГСГО-1 шт.,                      ГРПМ - 1 шт.</t>
  </si>
  <si>
    <t>Газопровод высокого, среднего и низкого давления в с.Б.Хвощеватка Подгоренского района</t>
  </si>
  <si>
    <t>ГРПШ-4 шт.</t>
  </si>
  <si>
    <t>Газопровод высокого давления с.Скляево-с.Ольховатка-с.Гнездилово- с.Хвощеватка Рамонского района</t>
  </si>
  <si>
    <t>d 160,225</t>
  </si>
  <si>
    <t>ГРПШ- 1 шт.,                   ГРПМ - 2 шт.</t>
  </si>
  <si>
    <t>Газопровод высокого давления к жилому микрорайону с.Айдарово Рамонского района</t>
  </si>
  <si>
    <t xml:space="preserve">ГРПШ- 1 шт. </t>
  </si>
  <si>
    <t xml:space="preserve">Газопровод высокого давления с.Копенкино -с.Чагори Россошанского района </t>
  </si>
  <si>
    <t>d 159,273</t>
  </si>
  <si>
    <t xml:space="preserve"> ГРПМ - 1 шт.</t>
  </si>
  <si>
    <t>Газопровод высокого давления от АГРС г.Россошь до АГРС с.Поповка Россошанского района</t>
  </si>
  <si>
    <t>d 325</t>
  </si>
  <si>
    <t>ПГБ- 1 шт.</t>
  </si>
  <si>
    <t>Газопровод среднего давления до ШРП № 1,2,3,4,8,10 в с.Вознесенка Семилукского рйона</t>
  </si>
  <si>
    <t>ГРПШ-6 шт.</t>
  </si>
  <si>
    <t>Газопровод от АГРС г.Семилуки от ответвления к с.Раздолье Семилуксого района</t>
  </si>
  <si>
    <t>d 219</t>
  </si>
  <si>
    <t>Газоснабжение жилой зоны ( ул.Пушкинская, ул.Красноармейская) в с.Хохол Хохольскогот района  (газопровод высокого и низкого давления )</t>
  </si>
  <si>
    <t xml:space="preserve">Газоснабжение с.Русаново Терновского муниципального района </t>
  </si>
  <si>
    <t>d 63,90,110,160</t>
  </si>
  <si>
    <t>ГРПШ-15 шт.</t>
  </si>
  <si>
    <t>Газопровод высокого давления до с.Коршуновка Терновского муниципального района</t>
  </si>
  <si>
    <t>d 57,76,159</t>
  </si>
  <si>
    <t>Газопровод высокого давления к п.Мичуринский Эртильского района</t>
  </si>
  <si>
    <t>Газопровод высокого давления к с.Сосновка Эртильского района</t>
  </si>
  <si>
    <t>здания*</t>
  </si>
  <si>
    <t>Административное здание, с. Верхняя Хава, ул. Георгиева,175</t>
  </si>
  <si>
    <t>Строительство административного здания Панинского газового участка,с. Панино ул. Базовая,6</t>
  </si>
  <si>
    <t>склад филиала "Рамоньгаз", р.п. Рамонь, ул. Космонавтов, 90</t>
  </si>
  <si>
    <t xml:space="preserve"> Строительство  металлического склада ф-ла "Повориногаз" ,г. Поворино,ул.Газовиков,1</t>
  </si>
  <si>
    <t>Строительство металлического склада ф-ла "Хохольскиймежрайгаз" Репьевской РЭГС  с. Репьевка ул. Молодежная, 36</t>
  </si>
  <si>
    <t>Строительство металлических складов филиалов:</t>
  </si>
  <si>
    <t>филиала " Борисоглебскгаз"г. Борисоглебск ул. Матросовская,115</t>
  </si>
  <si>
    <t>филиала " Бобровгаз",г. Бобров,ул. 22 января,1</t>
  </si>
  <si>
    <t>филиала " Павловскмежрайгаз",с.Верхний Мамон,ул. Правды,6</t>
  </si>
  <si>
    <t xml:space="preserve"> филиала "Нижнедевицкрайгаз" с. Нижнедевицк ул. Шматова,49</t>
  </si>
  <si>
    <t xml:space="preserve"> филиала " Острогожскмрг" ,г. Острогожск ,Ул. К. Маркса,58.</t>
  </si>
  <si>
    <t xml:space="preserve"> филиала " Острогожскмрг" Каменской РЭГС, п.г.т. Каменка,ул.Гагарина,33 </t>
  </si>
  <si>
    <t xml:space="preserve">  филиала "Раймоньрайгаз", р.п.Рамонь,ул. Космонавтов,90</t>
  </si>
  <si>
    <t>филиала " Лискигаз",г. Лиски,ул. Индустриальная,4</t>
  </si>
  <si>
    <t xml:space="preserve"> филиала " ВерхняяХавамежрайгаз" р.п. Панино, ул. Базовая ,6</t>
  </si>
  <si>
    <t xml:space="preserve"> филиала "Новохоперсмежрайгаз",г. Новохоперск,ул. Тимирязева,52</t>
  </si>
  <si>
    <t xml:space="preserve"> филиала "Хохольскиймежрайгаз"р.п. Хохольскийрайгаз пер. Есенина,25</t>
  </si>
  <si>
    <t xml:space="preserve">  филиала "Хохольский межрайгаз" Репьевской РЭГС,с. Репьевка,ул. Молодежная ,36</t>
  </si>
  <si>
    <t xml:space="preserve"> филиала "Эртильмежрайгаз"г. Эртиль,ул. Горная,12</t>
  </si>
  <si>
    <t xml:space="preserve"> филиала " Таловаярайгаз" р.п Таловая, пр. Свободы, 44б</t>
  </si>
  <si>
    <t>филиала " Эртильмежрайгаз " с, Терновка,ул. Фрунзе</t>
  </si>
  <si>
    <t>филиала " Павловскмежрайгаз",г. Павловск,ул. Газовая,3</t>
  </si>
  <si>
    <t xml:space="preserve">филиала " Ольховаткарайгаз" р.п. Ольховатка, ул. Ст. Разина, 1а </t>
  </si>
  <si>
    <t>филиала " Россошьгаз", г. Россошь, ул. Василевского, 9</t>
  </si>
  <si>
    <t>строительство наружных сетей водопровода с установкой пожарных гидрантов</t>
  </si>
  <si>
    <t>филиал "Семилукигаз" г. Семилуки, ул. 25 лет Октября, д. 114</t>
  </si>
  <si>
    <t>филиал "Новая Усманьрайгаз" с. Н-Усмань, ул. Ленина,309</t>
  </si>
  <si>
    <t xml:space="preserve"> филиал " Таловаярайгаз" р.п Таловая, пр. Свободы, 44б</t>
  </si>
  <si>
    <t xml:space="preserve"> филиал "Новохоперсмежрайгаз",г. Новохоперск,ул. Тимирязева,52, ул. Космонавтов,1б,пгт Грибановский,ул. Толстого,6</t>
  </si>
  <si>
    <t>филиал "Рамоньрайгаз", р.п. Рамонь, ул. Космонавтов, 90</t>
  </si>
  <si>
    <t xml:space="preserve"> филиал" Острогожскмрг" ,г. Острогожск ,ул. К. Маркса, 58а, ул. Ленина 7а (двор и улица), с. Коротояк, ул. Пролетарская,1, р.п.Каменка, ул. Гагарина,33</t>
  </si>
  <si>
    <t>филиал "Кантемировкарайгаз" р.п. Кантемировка, ул. Советская, 109</t>
  </si>
  <si>
    <t>филиал "Повориногаз"ул. Газовиков,1</t>
  </si>
  <si>
    <t>филиал "Лискигаз",г. Лиски,ул. Индустриальная,4</t>
  </si>
  <si>
    <t>филиал " Россошьгаз", г. Россошь, ул. Василевского, 9</t>
  </si>
  <si>
    <t>филиал "Петропавловкарайгаз", с. Петропавловка, ул. Победы, 149</t>
  </si>
  <si>
    <t xml:space="preserve">филиал " Ольховаткарайгаз" р.п. Ольховатка, ул. Ст. Разина, 1а </t>
  </si>
  <si>
    <t>филиал "Каширскоерайгаз" с. Каширское, ул.Строителей ,3</t>
  </si>
  <si>
    <t>филиал "Калачгаз" г. Калач, ул. Борцов революции, 14а</t>
  </si>
  <si>
    <t xml:space="preserve">филиал "Хохольскиймежрайгаз" (газовый участок Рудкино с. Рудкино, ул. Советская, 264а;  р.п.  Хохольский, пер. Есенина, 25; Орловский газовый участок п. Орловка,ул. Спортивная,45) </t>
  </si>
  <si>
    <t>филиал "Бобровгаз"  г.Бобров, ул. 22 Января</t>
  </si>
  <si>
    <t>филиал "Бутурлиновкамежрайгаз", г. Бутурлиновка, ул. Парижской коммуны, 172а</t>
  </si>
  <si>
    <t>филиал "Воронежгаз", г. Воронеж, ул. Конструкторов, 82, ул. Бакунина,2, Волгоградская,30б</t>
  </si>
  <si>
    <t>1.1.2.</t>
  </si>
  <si>
    <t xml:space="preserve">реконструируемые (модернизируемые) объекты </t>
  </si>
  <si>
    <t>1</t>
  </si>
  <si>
    <t>Реконструкция газовых сетей с установкой ГРП по ул.С.Перовской г.Воронеж</t>
  </si>
  <si>
    <t>ГРП- 1 шт.</t>
  </si>
  <si>
    <t>газопроводы, ГРП, ШРП</t>
  </si>
  <si>
    <t>с.Садовое ул.Мира,177, газопровод низкого давления</t>
  </si>
  <si>
    <t>d 57,76,63,90</t>
  </si>
  <si>
    <t>с.Купянка газопровод высокого и низкого давления</t>
  </si>
  <si>
    <t>III кв. 2012</t>
  </si>
  <si>
    <t>IV кв. 2012</t>
  </si>
  <si>
    <t>d 57,90,160</t>
  </si>
  <si>
    <t>г.Борисоглебск ул.Свободы-ул.Бланская газопровод низкого давления</t>
  </si>
  <si>
    <t>d 108</t>
  </si>
  <si>
    <t>г.Борисоглебск ул.Народная-ул.Бланская газопровод высокого давления с установкой ШРП</t>
  </si>
  <si>
    <t>d 57,63,90</t>
  </si>
  <si>
    <t>г.Борисоглебск ул.Космонавтов газопровод высокого и низкого давления с установкой ШРП</t>
  </si>
  <si>
    <t>d 89,160</t>
  </si>
  <si>
    <t xml:space="preserve">г.Борисоглебск ул.Свободы- ул.Л.Толстого газопровод низкого давления </t>
  </si>
  <si>
    <t>d 114</t>
  </si>
  <si>
    <t>г.Борисоглебск ул.К.Маркса-пер.Западный газопровод низкого давления</t>
  </si>
  <si>
    <t>d 159</t>
  </si>
  <si>
    <t>г.Воронеж ул.Машиностроителей,9 газопровод низкого давления</t>
  </si>
  <si>
    <t>d 57,108,159</t>
  </si>
  <si>
    <t>г.Воронеж ул.Нагорная газопровод низкого давления</t>
  </si>
  <si>
    <t>d 57,102,108,159</t>
  </si>
  <si>
    <t>г.Воронеж ул.Брусилова газопровод низкого давления</t>
  </si>
  <si>
    <t>d 76,89,159,219</t>
  </si>
  <si>
    <t>г.Воронеж ул.Волгоградская  газопровод низкого давления</t>
  </si>
  <si>
    <t>d 57,219,273</t>
  </si>
  <si>
    <t>г.Воронеж ул.Чебышева,28 газопровод низкого давления к котельной КПП</t>
  </si>
  <si>
    <t>г.Воронеж ул.Заслонова Замена ШРП</t>
  </si>
  <si>
    <t>Газопровод высокого и низкого давления,ШРП ул.Лагерная-ул.Курнатовского г.Воронеж</t>
  </si>
  <si>
    <t>d 57,108</t>
  </si>
  <si>
    <t>Газопровод низкого давления ул.Моисеева №25-47 г.Воронеж</t>
  </si>
  <si>
    <t>Газопровод низкого давления,ШРП ул.Новикова-ул.Соврасова г.Воронеж</t>
  </si>
  <si>
    <t>Газопровод среднего и низкого давления к ШРП Московский Пр.17</t>
  </si>
  <si>
    <t>d 57</t>
  </si>
  <si>
    <t>Газопровод среднего и низкого давления к ШРП по ул.Ушакова  ул.Л.Чайкиной г.Воронеж</t>
  </si>
  <si>
    <t>Газификация детского православного лагеря "Куристалл" в пос.Сомово ул.Курнатовского г.Воронеж</t>
  </si>
  <si>
    <t>d 89,90</t>
  </si>
  <si>
    <t xml:space="preserve">Газопровод низкого давления до пер.50 лет Октября-ул.21 Партсъезда  с.Верхний Мамон </t>
  </si>
  <si>
    <t>d 102</t>
  </si>
  <si>
    <t>с.Переволочное газопровод низкого давления</t>
  </si>
  <si>
    <t>Газопровод низкого давления г.Калач ул.Мира - ул.П.Серякова</t>
  </si>
  <si>
    <t>Газопровод низкого давления г.Калач ул.Ленинская - ул.Никитинская</t>
  </si>
  <si>
    <t>d 76</t>
  </si>
  <si>
    <t>г.Лиски ул.Чехова,ул.Строителей,  ул.Тургенева и т.д. газопровод высокого и низкого давления с установкой ШРП</t>
  </si>
  <si>
    <t>d 57,110,160</t>
  </si>
  <si>
    <t>г.Лиски ул.Науменко-ул.Красная   газопровод низкого давления</t>
  </si>
  <si>
    <t>г.Лиски ул.19 партсъезд газопровод низкого давления</t>
  </si>
  <si>
    <t>d 57,76,108,159</t>
  </si>
  <si>
    <t>г.Лиски ул.19 партсъезд -ул.8 Марта газопровод низкого давления</t>
  </si>
  <si>
    <t>г.Лиски ул.Б.Донецкая-пер.Пролетарский газопровод низкого давления</t>
  </si>
  <si>
    <t>с.Залужное газопровод среднего давления с установкой ШРП ул.Школьная-газопровод низкого давления пер.Коломыцева</t>
  </si>
  <si>
    <t>d 57,89,114</t>
  </si>
  <si>
    <t xml:space="preserve">ГРС низкого давления ул.25 лет Октября,Волкова,Железнодорожная в г.Лиски </t>
  </si>
  <si>
    <t>с.Средний Икорец ул.50 лет Октября-ул.Заречная газопровод низкого давления</t>
  </si>
  <si>
    <t>с.Средний Икорец ул.Мира-ул.Кооперативная  газопровод низкого давления</t>
  </si>
  <si>
    <t>d 57,76,89</t>
  </si>
  <si>
    <t>с.Копанище ул.Свободы-ул.Мира газопровод низкого давления</t>
  </si>
  <si>
    <t>d 57,76,108,110</t>
  </si>
  <si>
    <t>с.Лискинское ул.Березовая-ул.Вишневая  газопровод низкого давления</t>
  </si>
  <si>
    <t>d 108,110</t>
  </si>
  <si>
    <t>с.Средний Икорец ул.Зеленая - ул.Вокзальная газопровод низкого давления</t>
  </si>
  <si>
    <t>d 89,114</t>
  </si>
  <si>
    <t>с.Вознесеновка ул.Солнечная - п.Давыдовка ул.К.Маркса газопровод низкого давления</t>
  </si>
  <si>
    <t>d 63,110</t>
  </si>
  <si>
    <t>ГРПШ - 1 шт.</t>
  </si>
  <si>
    <t>х.Луговой газопровод среднего давления</t>
  </si>
  <si>
    <t>d  63</t>
  </si>
  <si>
    <t>г.Новохоперск ул.Кольцова газопровод низкого давления</t>
  </si>
  <si>
    <t>d  57,159</t>
  </si>
  <si>
    <t>с.Новая Усмань ул.Ростовская газопровод низкого давления</t>
  </si>
  <si>
    <t>d  57,63</t>
  </si>
  <si>
    <t>пос.Загирянка ул.Лесная газопровод низкого давления</t>
  </si>
  <si>
    <t>d  57,89,63,90</t>
  </si>
  <si>
    <t>с.Новый Лиман ул.Советская,ул.60 лет Октября,Туркенича газопровод низкого давления (закольцовка)</t>
  </si>
  <si>
    <t>Газопровод низкого давления по ул.Советска в с.Глубокое,Дедовка (закольцовка)</t>
  </si>
  <si>
    <t xml:space="preserve">Газопровод среднего и низкого давления по ул.Советская,Шестакова,Кольцевая в с.Глубокое,Дедовка </t>
  </si>
  <si>
    <t>г.Поворино ул.Мичурина-ул.Садовая-ул.40 лет Октября газопровод низкого давления</t>
  </si>
  <si>
    <t>Реконструкция газопровода высокого давления п.Цемзавод р.п.Подгоренский (закольцовка)</t>
  </si>
  <si>
    <t>р.п.Подгоренский ул.Северная-пер.Холмистый газопровод низкого давления</t>
  </si>
  <si>
    <t>Газопровод высокого и низкого давления,ШРП ул..Маркса г.Павловск</t>
  </si>
  <si>
    <t>ГРПШ-1 шт.</t>
  </si>
  <si>
    <t>Газопровод низкого давления ул.Пушкина-пер.Тамбовский г.Павловск</t>
  </si>
  <si>
    <t>Газопровод низкого давления ул.Суворова-пер.Тамбовский г.Павловск</t>
  </si>
  <si>
    <t>Газопровод высокого и низкого давления,ШРП с.Александровка-с.Донская Павловского района</t>
  </si>
  <si>
    <t>d 63,108</t>
  </si>
  <si>
    <t>р.п.Рамонь ул.Степная-ул.Рубежная газопровод низкого давления</t>
  </si>
  <si>
    <t>d 159,219</t>
  </si>
  <si>
    <t>п.Комсомольский ул.Студенческая газопровод низкого давления</t>
  </si>
  <si>
    <t>d 110</t>
  </si>
  <si>
    <t>р.п.Рамонь ул.Мира-ул.Советская газопровод низкого давления</t>
  </si>
  <si>
    <t>Газопровод низкого давления ул.Школьная с.Новоживотинное</t>
  </si>
  <si>
    <t xml:space="preserve">Газопровод низкого давления ул.Песчаная-ул.Первомайская д.Новоподклетное </t>
  </si>
  <si>
    <t>п.Комсомольский  газопровод высокого,низкого давления с установкой ГРПШ</t>
  </si>
  <si>
    <t>2012 г.</t>
  </si>
  <si>
    <t>г.Россошь ул.Есенина-ул.Лизы Чайкиной   Россошанского района газопровод высокого и  низкого давления</t>
  </si>
  <si>
    <t>г.Россошь пер.Брикетный, ул.Мира,ул.Трудовая   Россошанского района газопровод высокого и  низкого давления с установкой ШРП</t>
  </si>
  <si>
    <t>г.Россошь ул.Деповская газопровод низкого давления</t>
  </si>
  <si>
    <t>d 89,108</t>
  </si>
  <si>
    <t>Газопровод высокого давления с уст.ШРП и г-д н.д. пер.Павлова г.Россошь</t>
  </si>
  <si>
    <t>п.Латное ул.Ленина газопровод высокого давления к котельной</t>
  </si>
  <si>
    <t>р.п.Таловая ул.Советская-ул.Пролетарская газопровод низкого давления</t>
  </si>
  <si>
    <t>НИИ им."Докучаева" Таловского района, газопровод высокого давления</t>
  </si>
  <si>
    <t>с.Русаново ул.Первомайская,Проезжая,Горная газопровод низкого давления (закольцовка)</t>
  </si>
  <si>
    <t>Телеперевооружение ГРП</t>
  </si>
  <si>
    <t>г.Воронеж ул.Ворошилова,11</t>
  </si>
  <si>
    <t>ГРПМ- 1 шт.</t>
  </si>
  <si>
    <t>г.Воронеж ул.Еремеева,22</t>
  </si>
  <si>
    <t>г.Воронеж ул.Димитрова,136</t>
  </si>
  <si>
    <t>г.Воронеж ул.Ворошилова,39</t>
  </si>
  <si>
    <t>г.Воронеж ул.9 Января,124</t>
  </si>
  <si>
    <t>г.Воронеж .Ленинский пр.107</t>
  </si>
  <si>
    <t>г.Воронеж .Ленинский пр.24</t>
  </si>
  <si>
    <t>г.Воронеж .Ленинский пр.179</t>
  </si>
  <si>
    <t>г.Воронеж ул.Чайковского,3</t>
  </si>
  <si>
    <t>Восстановительные работы по газопроводам-вводам пострадавшим от природных пожаров 2010 г.,  в том числе Газопровод низкого давления по г. Воронеж ул.Плехановская, ул.Луговая,1а, ул.Луговая,2а в с.Шуберское</t>
  </si>
  <si>
    <t>Установка секционирующего отключающего устройства на газопроводе:</t>
  </si>
  <si>
    <t>с.Залиман Богучарского района</t>
  </si>
  <si>
    <t>с.Залиман ул.Павших Партизан Богучарского района</t>
  </si>
  <si>
    <t>г.Борисоглебск ул.Свободы (район АГРС)</t>
  </si>
  <si>
    <t>г.Борисоглебск ул.Дорожная-ул.Матросовская</t>
  </si>
  <si>
    <t>с.Заброды ул.Свердлова Калачеевского района</t>
  </si>
  <si>
    <t>с.Скрипниково с.Н.Криуша ул.Степная Калачеевского района</t>
  </si>
  <si>
    <t>с.Коломыцево ул.Солнечная Лискинского района</t>
  </si>
  <si>
    <t>с.Хохол ул.Кутузова Хохольского района</t>
  </si>
  <si>
    <t>р.п.Хохольский ул.Заводская Хохольского района</t>
  </si>
  <si>
    <t>г.Новохоперск газопровод низкого давления</t>
  </si>
  <si>
    <t>телеметрия ГРП и ЭЗУ (127 объектов)</t>
  </si>
  <si>
    <t>Реконструкция административного здания филиала "Борисоглебскгаз" г. Борисоглебск, ул. Матросовская, 115</t>
  </si>
  <si>
    <t>Реконструкция склада филиала "Борисоглебскгаз" г. Борисоглебск, ул. Матросовская, 115</t>
  </si>
  <si>
    <t>Реконструкция мастерских филиала "Борисоглебскгаз" г. Борисоглебск, ул. Матросовская, 115</t>
  </si>
  <si>
    <t>Реконструкция котельной филиала "Борисоглебскгаз" г. Борисоглебск, ул. Матросовская, 115</t>
  </si>
  <si>
    <t>Реконструкция административного здания филиала "Верхняя Хавамежрайгаз", ул. Георгиева, 175</t>
  </si>
  <si>
    <t>Реконструкция гаража филиала "Верхняя Хавамежрайгаз", ул. Георгиева, 175</t>
  </si>
  <si>
    <t>Реконструкция склада баллонов филиала "Верхняя Хавамежрайгаз", ул. Георгиева, 175</t>
  </si>
  <si>
    <t>Реконструкция административного здания ф-ла "Нижнедевицкрайгаз",с. Нижнедевицк,ул. Шматова,49</t>
  </si>
  <si>
    <t>Реконструкция административного здания филиала "Острогожскмежрайгаз" г. Острогожск, ул. Ленина,7</t>
  </si>
  <si>
    <t>реконструкция административного здания ф-ла "Повориногаз"п. Поворино, ул. Газовиков,1</t>
  </si>
  <si>
    <t>реконструкция гаража филиала "Повориногаз", г. Поворино, ул. Газовиков, 1</t>
  </si>
  <si>
    <t>реконструкция производственного здания филиала "Подгоренскийрайгаз", пгт Подгоренский, ул. Газовая, 4</t>
  </si>
  <si>
    <t>реконструкция гаража филиала "Подгоренскийрайгаз", пгт Подгоренский, ул. Газовая, 4</t>
  </si>
  <si>
    <t>реконструкция производственного здания Репьевской РЭГС филиала "Хохольскиймежрайгаз", с. Репьевка, ул.Молодежная, 36</t>
  </si>
  <si>
    <t>реконструкция гаража Репьевской РЭГС филиала "Хохольскиймежрайгаз", с. Репьевка, ул.Молодежная, 36</t>
  </si>
  <si>
    <t>реконструкция административного здания ф-ла "Эртильмежрайгаз", ул. Горная, 12</t>
  </si>
  <si>
    <t>реконструкция гаража филиала "Эртильмежрайгаз", г. Эртиль, ул. Горная, 12</t>
  </si>
  <si>
    <t>реконструкция котельной административно-производственного здания АДС филиала "Аннарайгаз". Пгт Анна, Гнездилова, 106</t>
  </si>
  <si>
    <t>реконструкция уборной Репьевской РЭГС ф-ла "Хохольскиймежрайгаз" с. Репьевка, ул. Молодежная, 36</t>
  </si>
  <si>
    <t>Реконструкция гаража ф-ла "Нижнедевицкрайгаз",с. Нижнедевицк,ул. Шматова,49</t>
  </si>
  <si>
    <t>реконструкция склада баллонов Репьевской РЭГС филиала "Хохольскиймежрайгаз", с. Репьевка, ул.Молодежная, 36</t>
  </si>
  <si>
    <t>реконструкция административно- производственного здания ф-ла "Россошьгаз" , г. Россошь, ул. Василевского, 9</t>
  </si>
  <si>
    <t>реконструкция гаража ф-ла "Россошьгаз" г. Россошь, ул. Василевского, 9</t>
  </si>
  <si>
    <t>реконструкция склада ф-ла "Россошьгаз" г. Россошь, ул. Василевского,10</t>
  </si>
  <si>
    <t>реконструкция административного здания ф-ла "Каширскоерайгаз" г. Нововоронеж. Ул. Космонавтов, 1б</t>
  </si>
  <si>
    <t>реконструкция гаража ф-ла "Павловскмежрайгаз" г.Павловск, ул. Газовая, 3</t>
  </si>
  <si>
    <t>реконструкция ГНП литер 1а ф-ла "Павловскмежрайгаз" г.Павловск, ул. Газовая, 3</t>
  </si>
  <si>
    <t>реконструкция ГНП литер 2а ф-ла "Павловскмежрайгаз" г.Павловск, ул. Газовая, 3</t>
  </si>
  <si>
    <t>реконструкция склада с кран-балкой ф-ла "Павловскмежрайгаз" г.Павловск, ул. Газовая, 3</t>
  </si>
  <si>
    <t>реконструкция производственного здания ф-ла "Павловскмежрайгаз" г.Павловск, ул. Газовая, 3</t>
  </si>
  <si>
    <t>реконструкция склада-навеса (литер Г 3) ф-ла "Павловскмежрайгаз" г.Павловск, ул. Газовая, 3</t>
  </si>
  <si>
    <t>реконструкция ограждения и покрытия территории ф-ла "Павловскмежрайгаз" г.Павловск, ул. Газовая, 3</t>
  </si>
  <si>
    <t>Реконструкция гаража филиала "Верхняя Хавамежрайгаз", р.п. Панино, ул. Базовая, 6</t>
  </si>
  <si>
    <t>Реконструкция склада баллонов филиала "Верхняя Хавамежрайгаз", р.п. Панино, ул. Базовая, 7</t>
  </si>
  <si>
    <t>Реконструкция склада баллонов ф-ла "Нижнедевицкрайгаз",с. Нижнедевицк,ул. Шматова,49</t>
  </si>
  <si>
    <t>Реконструкция административного здания ф-ла "Хохольскиймежрайгаз",р.п.. Хохольский, пер. Есенина,25</t>
  </si>
  <si>
    <t>Монтаж и установка пожарно-оххранной сигнализации                  ( 25 объектов)</t>
  </si>
  <si>
    <t>I кв. 2010</t>
  </si>
  <si>
    <t>1.2.</t>
  </si>
  <si>
    <t>Сведения о долгосрочных финансовых вложениях*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</si>
  <si>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</si>
  <si>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</si>
  <si>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</si>
  <si>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</si>
  <si>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</si>
  <si>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</si>
  <si>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</si>
  <si>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</si>
  <si>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</si>
  <si>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</si>
  <si>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</si>
  <si>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</si>
  <si>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1.3.6.</t>
  </si>
  <si>
    <t>производственный и хозяйственный инструмент, инвентарь*</t>
  </si>
  <si>
    <t>* - в инвестиционную программу включены затраты в части транспортировки природного газа (72%)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</si>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</sst>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49" fontId="23" fillId="0" borderId="15" xfId="54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Border="1" applyAlignment="1">
      <alignment/>
    </xf>
    <xf numFmtId="0" fontId="24" fillId="24" borderId="15" xfId="0" applyFont="1" applyFill="1" applyBorder="1" applyAlignment="1">
      <alignment/>
    </xf>
    <xf numFmtId="1" fontId="24" fillId="24" borderId="15" xfId="0" applyNumberFormat="1" applyFont="1" applyFill="1" applyBorder="1" applyAlignment="1">
      <alignment/>
    </xf>
    <xf numFmtId="3" fontId="23" fillId="0" borderId="15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left"/>
    </xf>
    <xf numFmtId="49" fontId="20" fillId="0" borderId="15" xfId="54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left" vertical="center" wrapText="1"/>
    </xf>
    <xf numFmtId="0" fontId="24" fillId="24" borderId="15" xfId="0" applyFont="1" applyFill="1" applyBorder="1" applyAlignment="1">
      <alignment/>
    </xf>
    <xf numFmtId="3" fontId="20" fillId="0" borderId="15" xfId="0" applyNumberFormat="1" applyFont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49" fontId="20" fillId="22" borderId="15" xfId="54" applyNumberFormat="1" applyFont="1" applyFill="1" applyBorder="1" applyAlignment="1" applyProtection="1">
      <alignment horizontal="center" vertical="center" wrapText="1"/>
      <protection/>
    </xf>
    <xf numFmtId="0" fontId="20" fillId="22" borderId="15" xfId="0" applyFont="1" applyFill="1" applyBorder="1" applyAlignment="1">
      <alignment horizontal="left" indent="1"/>
    </xf>
    <xf numFmtId="0" fontId="20" fillId="22" borderId="15" xfId="0" applyFont="1" applyFill="1" applyBorder="1" applyAlignment="1">
      <alignment/>
    </xf>
    <xf numFmtId="3" fontId="20" fillId="22" borderId="15" xfId="0" applyNumberFormat="1" applyFont="1" applyFill="1" applyBorder="1" applyAlignment="1">
      <alignment horizontal="center"/>
    </xf>
    <xf numFmtId="49" fontId="20" fillId="25" borderId="15" xfId="54" applyNumberFormat="1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>
      <alignment horizontal="right" indent="1"/>
    </xf>
    <xf numFmtId="0" fontId="20" fillId="25" borderId="15" xfId="0" applyFont="1" applyFill="1" applyBorder="1" applyAlignment="1">
      <alignment/>
    </xf>
    <xf numFmtId="3" fontId="20" fillId="25" borderId="15" xfId="0" applyNumberFormat="1" applyFont="1" applyFill="1" applyBorder="1" applyAlignment="1">
      <alignment horizontal="center"/>
    </xf>
    <xf numFmtId="2" fontId="20" fillId="25" borderId="15" xfId="0" applyNumberFormat="1" applyFont="1" applyFill="1" applyBorder="1" applyAlignment="1">
      <alignment horizontal="center"/>
    </xf>
    <xf numFmtId="1" fontId="20" fillId="25" borderId="1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15" xfId="0" applyFont="1" applyBorder="1" applyAlignment="1">
      <alignment horizontal="right" vertical="center" wrapText="1"/>
    </xf>
    <xf numFmtId="3" fontId="25" fillId="0" borderId="15" xfId="0" applyNumberFormat="1" applyFont="1" applyBorder="1" applyAlignment="1">
      <alignment vertical="top"/>
    </xf>
    <xf numFmtId="2" fontId="25" fillId="0" borderId="15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0" fillId="0" borderId="0" xfId="0" applyAlignment="1">
      <alignment horizontal="left"/>
    </xf>
    <xf numFmtId="2" fontId="25" fillId="0" borderId="15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/>
    </xf>
    <xf numFmtId="166" fontId="25" fillId="0" borderId="15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wrapText="1"/>
    </xf>
    <xf numFmtId="0" fontId="24" fillId="26" borderId="15" xfId="0" applyFont="1" applyFill="1" applyBorder="1" applyAlignment="1">
      <alignment horizontal="center"/>
    </xf>
    <xf numFmtId="0" fontId="20" fillId="0" borderId="15" xfId="0" applyFont="1" applyFill="1" applyBorder="1" applyAlignment="1" applyProtection="1">
      <alignment horizontal="center"/>
      <protection locked="0"/>
    </xf>
    <xf numFmtId="49" fontId="20" fillId="0" borderId="15" xfId="0" applyNumberFormat="1" applyFont="1" applyFill="1" applyBorder="1" applyAlignment="1" applyProtection="1">
      <alignment horizontal="center" wrapText="1"/>
      <protection locked="0"/>
    </xf>
    <xf numFmtId="3" fontId="20" fillId="0" borderId="15" xfId="0" applyNumberFormat="1" applyFont="1" applyFill="1" applyBorder="1" applyAlignment="1" applyProtection="1">
      <alignment horizontal="right"/>
      <protection locked="0"/>
    </xf>
    <xf numFmtId="3" fontId="20" fillId="0" borderId="16" xfId="0" applyNumberFormat="1" applyFont="1" applyFill="1" applyBorder="1" applyAlignment="1">
      <alignment horizontal="right" wrapText="1"/>
    </xf>
    <xf numFmtId="0" fontId="24" fillId="24" borderId="15" xfId="0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3" fontId="20" fillId="0" borderId="15" xfId="0" applyNumberFormat="1" applyFont="1" applyBorder="1" applyAlignment="1">
      <alignment/>
    </xf>
    <xf numFmtId="4" fontId="20" fillId="0" borderId="15" xfId="0" applyNumberFormat="1" applyFont="1" applyFill="1" applyBorder="1" applyAlignment="1">
      <alignment wrapText="1"/>
    </xf>
    <xf numFmtId="0" fontId="20" fillId="0" borderId="15" xfId="15" applyFont="1" applyFill="1" applyBorder="1" applyAlignment="1">
      <alignment horizontal="center" wrapText="1"/>
      <protection/>
    </xf>
    <xf numFmtId="3" fontId="26" fillId="0" borderId="15" xfId="0" applyNumberFormat="1" applyFont="1" applyFill="1" applyBorder="1" applyAlignment="1" applyProtection="1">
      <alignment horizontal="right"/>
      <protection locked="0"/>
    </xf>
    <xf numFmtId="3" fontId="20" fillId="0" borderId="15" xfId="0" applyNumberFormat="1" applyFont="1" applyFill="1" applyBorder="1" applyAlignment="1" applyProtection="1">
      <alignment horizontal="right"/>
      <protection locked="0"/>
    </xf>
    <xf numFmtId="3" fontId="20" fillId="0" borderId="15" xfId="0" applyNumberFormat="1" applyFont="1" applyFill="1" applyBorder="1" applyAlignment="1">
      <alignment horizontal="right" wrapText="1"/>
    </xf>
    <xf numFmtId="0" fontId="27" fillId="0" borderId="17" xfId="0" applyFont="1" applyFill="1" applyBorder="1" applyAlignment="1">
      <alignment wrapText="1"/>
    </xf>
    <xf numFmtId="0" fontId="20" fillId="0" borderId="15" xfId="0" applyNumberFormat="1" applyFont="1" applyFill="1" applyBorder="1" applyAlignment="1">
      <alignment wrapText="1"/>
    </xf>
    <xf numFmtId="3" fontId="20" fillId="27" borderId="15" xfId="0" applyNumberFormat="1" applyFont="1" applyFill="1" applyBorder="1" applyAlignment="1">
      <alignment horizontal="right" wrapText="1"/>
    </xf>
    <xf numFmtId="0" fontId="27" fillId="0" borderId="18" xfId="60" applyFont="1" applyFill="1" applyBorder="1" applyAlignment="1">
      <alignment wrapText="1"/>
      <protection/>
    </xf>
    <xf numFmtId="0" fontId="20" fillId="0" borderId="15" xfId="0" applyFont="1" applyBorder="1" applyAlignment="1">
      <alignment horizontal="center" vertical="center"/>
    </xf>
    <xf numFmtId="0" fontId="20" fillId="0" borderId="18" xfId="60" applyFont="1" applyFill="1" applyBorder="1" applyAlignment="1">
      <alignment wrapText="1"/>
      <protection/>
    </xf>
    <xf numFmtId="3" fontId="20" fillId="27" borderId="15" xfId="0" applyNumberFormat="1" applyFont="1" applyFill="1" applyBorder="1" applyAlignment="1">
      <alignment horizontal="right"/>
    </xf>
    <xf numFmtId="3" fontId="20" fillId="27" borderId="15" xfId="0" applyNumberFormat="1" applyFont="1" applyFill="1" applyBorder="1" applyAlignment="1">
      <alignment horizontal="right"/>
    </xf>
    <xf numFmtId="3" fontId="20" fillId="0" borderId="15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horizontal="right" wrapText="1"/>
    </xf>
    <xf numFmtId="2" fontId="20" fillId="0" borderId="0" xfId="0" applyNumberFormat="1" applyFont="1" applyAlignment="1">
      <alignment horizontal="left"/>
    </xf>
    <xf numFmtId="0" fontId="20" fillId="22" borderId="15" xfId="0" applyFont="1" applyFill="1" applyBorder="1" applyAlignment="1">
      <alignment horizontal="left" wrapText="1" indent="1"/>
    </xf>
    <xf numFmtId="49" fontId="20" fillId="25" borderId="15" xfId="54" applyNumberFormat="1" applyFont="1" applyFill="1" applyBorder="1" applyAlignment="1" applyProtection="1">
      <alignment horizontal="center" vertical="center" wrapText="1"/>
      <protection/>
    </xf>
    <xf numFmtId="3" fontId="20" fillId="25" borderId="15" xfId="0" applyNumberFormat="1" applyFont="1" applyFill="1" applyBorder="1" applyAlignment="1">
      <alignment/>
    </xf>
    <xf numFmtId="2" fontId="20" fillId="25" borderId="15" xfId="0" applyNumberFormat="1" applyFont="1" applyFill="1" applyBorder="1" applyAlignment="1">
      <alignment horizontal="center"/>
    </xf>
    <xf numFmtId="0" fontId="20" fillId="25" borderId="15" xfId="0" applyFont="1" applyFill="1" applyBorder="1" applyAlignment="1">
      <alignment/>
    </xf>
    <xf numFmtId="1" fontId="20" fillId="25" borderId="15" xfId="0" applyNumberFormat="1" applyFont="1" applyFill="1" applyBorder="1" applyAlignment="1">
      <alignment horizontal="center"/>
    </xf>
    <xf numFmtId="1" fontId="20" fillId="25" borderId="0" xfId="0" applyNumberFormat="1" applyFont="1" applyFill="1" applyAlignment="1">
      <alignment horizontal="left"/>
    </xf>
    <xf numFmtId="0" fontId="20" fillId="25" borderId="0" xfId="0" applyFont="1" applyFill="1" applyAlignment="1">
      <alignment/>
    </xf>
    <xf numFmtId="49" fontId="20" fillId="0" borderId="15" xfId="54" applyNumberFormat="1" applyFont="1" applyFill="1" applyBorder="1" applyAlignment="1" applyProtection="1">
      <alignment horizontal="right" vertical="center" wrapText="1"/>
      <protection/>
    </xf>
    <xf numFmtId="0" fontId="25" fillId="0" borderId="15" xfId="0" applyFont="1" applyBorder="1" applyAlignment="1">
      <alignment horizontal="left" vertical="top" wrapText="1"/>
    </xf>
    <xf numFmtId="1" fontId="20" fillId="0" borderId="0" xfId="0" applyNumberFormat="1" applyFont="1" applyFill="1" applyAlignment="1">
      <alignment horizontal="left"/>
    </xf>
    <xf numFmtId="3" fontId="20" fillId="25" borderId="1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right" vertical="top" wrapText="1"/>
    </xf>
    <xf numFmtId="1" fontId="25" fillId="0" borderId="15" xfId="0" applyNumberFormat="1" applyFont="1" applyBorder="1" applyAlignment="1">
      <alignment horizontal="center" vertical="top" wrapText="1"/>
    </xf>
    <xf numFmtId="3" fontId="25" fillId="0" borderId="15" xfId="0" applyNumberFormat="1" applyFont="1" applyBorder="1" applyAlignment="1">
      <alignment horizontal="right" vertical="top" wrapText="1"/>
    </xf>
    <xf numFmtId="2" fontId="20" fillId="0" borderId="0" xfId="0" applyNumberFormat="1" applyFont="1" applyAlignment="1">
      <alignment/>
    </xf>
    <xf numFmtId="3" fontId="25" fillId="0" borderId="15" xfId="0" applyNumberFormat="1" applyFont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20" fillId="0" borderId="15" xfId="15" applyFont="1" applyFill="1" applyBorder="1" applyAlignment="1">
      <alignment horizontal="left" wrapText="1"/>
      <protection/>
    </xf>
    <xf numFmtId="0" fontId="20" fillId="28" borderId="15" xfId="0" applyFont="1" applyFill="1" applyBorder="1" applyAlignment="1">
      <alignment horizontal="center"/>
    </xf>
    <xf numFmtId="0" fontId="23" fillId="0" borderId="15" xfId="15" applyFont="1" applyFill="1" applyBorder="1" applyAlignment="1">
      <alignment horizontal="left" wrapText="1"/>
      <protection/>
    </xf>
    <xf numFmtId="0" fontId="20" fillId="25" borderId="15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 horizontal="right"/>
    </xf>
    <xf numFmtId="0" fontId="20" fillId="0" borderId="15" xfId="15" applyFont="1" applyFill="1" applyBorder="1" applyAlignment="1">
      <alignment wrapText="1"/>
      <protection/>
    </xf>
    <xf numFmtId="0" fontId="20" fillId="0" borderId="15" xfId="0" applyFont="1" applyFill="1" applyBorder="1" applyAlignment="1">
      <alignment horizontal="center"/>
    </xf>
    <xf numFmtId="0" fontId="20" fillId="22" borderId="15" xfId="0" applyFont="1" applyFill="1" applyBorder="1" applyAlignment="1">
      <alignment/>
    </xf>
    <xf numFmtId="0" fontId="24" fillId="29" borderId="15" xfId="0" applyFont="1" applyFill="1" applyBorder="1" applyAlignment="1">
      <alignment horizontal="center"/>
    </xf>
    <xf numFmtId="1" fontId="24" fillId="22" borderId="15" xfId="0" applyNumberFormat="1" applyFont="1" applyFill="1" applyBorder="1" applyAlignment="1">
      <alignment horizontal="center"/>
    </xf>
    <xf numFmtId="1" fontId="20" fillId="22" borderId="15" xfId="0" applyNumberFormat="1" applyFont="1" applyFill="1" applyBorder="1" applyAlignment="1">
      <alignment horizontal="center"/>
    </xf>
    <xf numFmtId="0" fontId="20" fillId="22" borderId="15" xfId="0" applyFont="1" applyFill="1" applyBorder="1" applyAlignment="1">
      <alignment horizontal="left"/>
    </xf>
    <xf numFmtId="1" fontId="24" fillId="29" borderId="1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right"/>
    </xf>
    <xf numFmtId="1" fontId="24" fillId="24" borderId="15" xfId="0" applyNumberFormat="1" applyFont="1" applyFill="1" applyBorder="1" applyAlignment="1">
      <alignment horizontal="center"/>
    </xf>
    <xf numFmtId="49" fontId="20" fillId="0" borderId="15" xfId="54" applyNumberFormat="1" applyFont="1" applyFill="1" applyBorder="1" applyAlignment="1" applyProtection="1">
      <alignment horizontal="center" vertical="center" wrapText="1"/>
      <protection/>
    </xf>
    <xf numFmtId="49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left"/>
    </xf>
    <xf numFmtId="0" fontId="24" fillId="28" borderId="0" xfId="0" applyFont="1" applyFill="1" applyBorder="1" applyAlignment="1">
      <alignment horizontal="center"/>
    </xf>
    <xf numFmtId="0" fontId="20" fillId="30" borderId="0" xfId="0" applyFont="1" applyFill="1" applyBorder="1" applyAlignment="1">
      <alignment/>
    </xf>
    <xf numFmtId="49" fontId="20" fillId="0" borderId="0" xfId="54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20" xfId="60" applyFont="1" applyFill="1" applyBorder="1" applyAlignment="1">
      <alignment wrapText="1"/>
      <protection/>
    </xf>
    <xf numFmtId="0" fontId="20" fillId="0" borderId="21" xfId="0" applyFont="1" applyFill="1" applyBorder="1" applyAlignment="1">
      <alignment wrapText="1"/>
    </xf>
  </cellXfs>
  <cellStyles count="50">
    <cellStyle name="Normal" xfId="0"/>
    <cellStyle name=" 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АК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tabSelected="1"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01" sqref="J201:J217"/>
    </sheetView>
  </sheetViews>
  <sheetFormatPr defaultColWidth="9.00390625" defaultRowHeight="12.75"/>
  <cols>
    <col min="1" max="1" width="7.625" style="1" customWidth="1"/>
    <col min="2" max="2" width="53.375" style="1" customWidth="1"/>
    <col min="3" max="3" width="10.625" style="1" customWidth="1"/>
    <col min="4" max="4" width="10.37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3" customWidth="1"/>
    <col min="11" max="11" width="14.375" style="1" customWidth="1"/>
    <col min="12" max="16384" width="9.125" style="1" customWidth="1"/>
  </cols>
  <sheetData>
    <row r="1" ht="18.75" customHeight="1">
      <c r="I1" s="2" t="s">
        <v>0</v>
      </c>
    </row>
    <row r="2" ht="15.75">
      <c r="I2" s="2" t="s">
        <v>1</v>
      </c>
    </row>
    <row r="3" ht="15.75">
      <c r="I3" s="2"/>
    </row>
    <row r="5" spans="2:11" ht="15.75" customHeight="1">
      <c r="B5" s="4" t="s">
        <v>2</v>
      </c>
      <c r="C5" s="4"/>
      <c r="D5" s="4"/>
      <c r="E5" s="4"/>
      <c r="F5" s="4"/>
      <c r="G5" s="4"/>
      <c r="H5" s="4"/>
      <c r="I5" s="4"/>
      <c r="J5" s="5"/>
      <c r="K5" s="6"/>
    </row>
    <row r="6" spans="2:10" ht="12.75">
      <c r="B6" s="7"/>
      <c r="C6" s="7"/>
      <c r="D6" s="7"/>
      <c r="F6" s="8" t="s">
        <v>3</v>
      </c>
      <c r="G6" s="8"/>
      <c r="H6" s="8"/>
      <c r="I6" s="8"/>
      <c r="J6" s="9"/>
    </row>
    <row r="7" spans="2:11" ht="15.75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</row>
    <row r="9" spans="1:9" ht="29.25" customHeight="1">
      <c r="A9" s="11" t="s">
        <v>5</v>
      </c>
      <c r="B9" s="11" t="s">
        <v>6</v>
      </c>
      <c r="C9" s="12" t="s">
        <v>7</v>
      </c>
      <c r="D9" s="13"/>
      <c r="E9" s="12" t="s">
        <v>8</v>
      </c>
      <c r="F9" s="13"/>
      <c r="G9" s="12" t="s">
        <v>9</v>
      </c>
      <c r="H9" s="14"/>
      <c r="I9" s="13"/>
    </row>
    <row r="10" spans="1:9" ht="63.75">
      <c r="A10" s="15"/>
      <c r="B10" s="15"/>
      <c r="C10" s="16" t="s">
        <v>10</v>
      </c>
      <c r="D10" s="16" t="s">
        <v>11</v>
      </c>
      <c r="E10" s="17" t="s">
        <v>12</v>
      </c>
      <c r="F10" s="17" t="s">
        <v>13</v>
      </c>
      <c r="G10" s="16" t="s">
        <v>14</v>
      </c>
      <c r="H10" s="16" t="s">
        <v>15</v>
      </c>
      <c r="I10" s="16" t="s">
        <v>16</v>
      </c>
    </row>
    <row r="11" spans="1:9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</row>
    <row r="12" spans="1:10" ht="12.75">
      <c r="A12" s="19">
        <v>1</v>
      </c>
      <c r="B12" s="20" t="s">
        <v>17</v>
      </c>
      <c r="C12" s="21"/>
      <c r="D12" s="21"/>
      <c r="E12" s="22"/>
      <c r="F12" s="23">
        <f>F13+F218+F219</f>
        <v>371029.9061700001</v>
      </c>
      <c r="G12" s="21"/>
      <c r="H12" s="21"/>
      <c r="I12" s="21"/>
      <c r="J12" s="24"/>
    </row>
    <row r="13" spans="1:9" ht="25.5">
      <c r="A13" s="25" t="s">
        <v>18</v>
      </c>
      <c r="B13" s="26" t="s">
        <v>19</v>
      </c>
      <c r="C13" s="21"/>
      <c r="D13" s="27"/>
      <c r="E13" s="28">
        <f>E14+E88</f>
        <v>556699.55686</v>
      </c>
      <c r="F13" s="28">
        <f>F14+F88</f>
        <v>283083.62617000006</v>
      </c>
      <c r="G13" s="29"/>
      <c r="H13" s="29"/>
      <c r="I13" s="29"/>
    </row>
    <row r="14" spans="1:9" ht="13.5" customHeight="1">
      <c r="A14" s="30" t="s">
        <v>20</v>
      </c>
      <c r="B14" s="31" t="s">
        <v>21</v>
      </c>
      <c r="C14" s="32"/>
      <c r="D14" s="32"/>
      <c r="E14" s="33">
        <f>E15+E44</f>
        <v>303269.59332</v>
      </c>
      <c r="F14" s="33">
        <f>F15+F44</f>
        <v>145952.56737000003</v>
      </c>
      <c r="G14" s="32"/>
      <c r="H14" s="32"/>
      <c r="I14" s="32"/>
    </row>
    <row r="15" spans="1:10" s="41" customFormat="1" ht="12.75">
      <c r="A15" s="34"/>
      <c r="B15" s="35" t="s">
        <v>22</v>
      </c>
      <c r="C15" s="36"/>
      <c r="D15" s="36"/>
      <c r="E15" s="37">
        <f>SUM(E16:E43)</f>
        <v>244715.96331999998</v>
      </c>
      <c r="F15" s="37">
        <f>SUM(F16:F43)</f>
        <v>103645.43137000002</v>
      </c>
      <c r="G15" s="38">
        <f>SUM(G16:G43)</f>
        <v>193.75465</v>
      </c>
      <c r="H15" s="36"/>
      <c r="I15" s="39">
        <v>79</v>
      </c>
      <c r="J15" s="40"/>
    </row>
    <row r="16" spans="1:10" ht="25.5">
      <c r="A16" s="42">
        <v>1</v>
      </c>
      <c r="B16" s="26" t="s">
        <v>23</v>
      </c>
      <c r="C16" s="16" t="s">
        <v>24</v>
      </c>
      <c r="D16" s="16" t="s">
        <v>25</v>
      </c>
      <c r="E16" s="43">
        <v>16426.45241</v>
      </c>
      <c r="F16" s="43">
        <v>15637.343</v>
      </c>
      <c r="G16" s="44">
        <v>10.367999999999999</v>
      </c>
      <c r="H16" s="45" t="s">
        <v>26</v>
      </c>
      <c r="I16" s="45" t="s">
        <v>27</v>
      </c>
      <c r="J16" s="46"/>
    </row>
    <row r="17" spans="1:11" ht="25.5">
      <c r="A17" s="42">
        <v>2</v>
      </c>
      <c r="B17" s="26" t="s">
        <v>28</v>
      </c>
      <c r="C17" s="16" t="s">
        <v>29</v>
      </c>
      <c r="D17" s="16" t="s">
        <v>30</v>
      </c>
      <c r="E17" s="43">
        <v>12656.348</v>
      </c>
      <c r="F17" s="43">
        <v>2512.8079999999995</v>
      </c>
      <c r="G17" s="47">
        <v>3.115</v>
      </c>
      <c r="H17" s="48" t="s">
        <v>31</v>
      </c>
      <c r="I17" s="48"/>
      <c r="J17" s="49"/>
      <c r="K17" s="50"/>
    </row>
    <row r="18" spans="1:11" ht="38.25">
      <c r="A18" s="42">
        <v>3</v>
      </c>
      <c r="B18" s="26" t="s">
        <v>32</v>
      </c>
      <c r="C18" s="16" t="s">
        <v>29</v>
      </c>
      <c r="D18" s="16" t="s">
        <v>33</v>
      </c>
      <c r="E18" s="43">
        <v>1950.1069999999997</v>
      </c>
      <c r="F18" s="43">
        <v>1950.1069999999997</v>
      </c>
      <c r="G18" s="47">
        <v>2.4989999999999997</v>
      </c>
      <c r="H18" s="51" t="s">
        <v>34</v>
      </c>
      <c r="I18" s="51" t="s">
        <v>35</v>
      </c>
      <c r="J18" s="49"/>
      <c r="K18" s="50"/>
    </row>
    <row r="19" spans="1:11" ht="38.25">
      <c r="A19" s="42">
        <v>4</v>
      </c>
      <c r="B19" s="26" t="s">
        <v>36</v>
      </c>
      <c r="C19" s="16" t="s">
        <v>33</v>
      </c>
      <c r="D19" s="16" t="s">
        <v>30</v>
      </c>
      <c r="E19" s="43">
        <v>14802.346</v>
      </c>
      <c r="F19" s="43">
        <v>6445.255000000001</v>
      </c>
      <c r="G19" s="47">
        <v>11.86</v>
      </c>
      <c r="H19" s="51" t="s">
        <v>37</v>
      </c>
      <c r="I19" s="51" t="s">
        <v>38</v>
      </c>
      <c r="J19" s="49"/>
      <c r="K19" s="50"/>
    </row>
    <row r="20" spans="1:11" ht="25.5">
      <c r="A20" s="42">
        <v>5</v>
      </c>
      <c r="B20" s="26" t="s">
        <v>39</v>
      </c>
      <c r="C20" s="16" t="s">
        <v>33</v>
      </c>
      <c r="D20" s="16" t="s">
        <v>30</v>
      </c>
      <c r="E20" s="43">
        <v>15548.432</v>
      </c>
      <c r="F20" s="43">
        <v>3446.8469999999998</v>
      </c>
      <c r="G20" s="44">
        <v>14.425</v>
      </c>
      <c r="H20" s="45" t="s">
        <v>40</v>
      </c>
      <c r="I20" s="45" t="s">
        <v>41</v>
      </c>
      <c r="J20" s="49"/>
      <c r="K20" s="50"/>
    </row>
    <row r="21" spans="1:11" ht="38.25">
      <c r="A21" s="42">
        <v>6</v>
      </c>
      <c r="B21" s="26" t="s">
        <v>42</v>
      </c>
      <c r="C21" s="16" t="s">
        <v>43</v>
      </c>
      <c r="D21" s="16" t="s">
        <v>24</v>
      </c>
      <c r="E21" s="43">
        <v>2736.39583</v>
      </c>
      <c r="F21" s="43">
        <v>208.27465</v>
      </c>
      <c r="G21" s="47">
        <v>3.582</v>
      </c>
      <c r="H21" s="48" t="s">
        <v>44</v>
      </c>
      <c r="I21" s="51" t="s">
        <v>45</v>
      </c>
      <c r="J21" s="49"/>
      <c r="K21" s="50"/>
    </row>
    <row r="22" spans="1:11" ht="25.5">
      <c r="A22" s="42">
        <v>7</v>
      </c>
      <c r="B22" s="26" t="s">
        <v>46</v>
      </c>
      <c r="C22" s="16" t="s">
        <v>47</v>
      </c>
      <c r="D22" s="16" t="s">
        <v>33</v>
      </c>
      <c r="E22" s="43">
        <v>4606.4798900000005</v>
      </c>
      <c r="F22" s="43">
        <v>4514.107000000001</v>
      </c>
      <c r="G22" s="47">
        <v>6.4831</v>
      </c>
      <c r="H22" s="48" t="s">
        <v>48</v>
      </c>
      <c r="I22" s="45" t="s">
        <v>49</v>
      </c>
      <c r="J22" s="49"/>
      <c r="K22" s="50"/>
    </row>
    <row r="23" spans="1:11" ht="12.75">
      <c r="A23" s="42">
        <v>8</v>
      </c>
      <c r="B23" s="26" t="s">
        <v>50</v>
      </c>
      <c r="C23" s="16" t="s">
        <v>33</v>
      </c>
      <c r="D23" s="16" t="s">
        <v>30</v>
      </c>
      <c r="E23" s="43">
        <v>2752.602</v>
      </c>
      <c r="F23" s="43">
        <v>1710.837</v>
      </c>
      <c r="G23" s="47">
        <v>3.192</v>
      </c>
      <c r="H23" s="48" t="s">
        <v>51</v>
      </c>
      <c r="I23" s="45" t="s">
        <v>41</v>
      </c>
      <c r="J23" s="49"/>
      <c r="K23" s="50"/>
    </row>
    <row r="24" spans="1:11" ht="25.5">
      <c r="A24" s="42">
        <v>9</v>
      </c>
      <c r="B24" s="26" t="s">
        <v>52</v>
      </c>
      <c r="C24" s="16" t="s">
        <v>43</v>
      </c>
      <c r="D24" s="16" t="s">
        <v>53</v>
      </c>
      <c r="E24" s="43">
        <v>867.10134</v>
      </c>
      <c r="F24" s="43"/>
      <c r="G24" s="47">
        <v>0.9869999999999999</v>
      </c>
      <c r="H24" s="48" t="s">
        <v>54</v>
      </c>
      <c r="I24" s="48"/>
      <c r="J24" s="49"/>
      <c r="K24" s="50"/>
    </row>
    <row r="25" spans="1:11" ht="25.5">
      <c r="A25" s="42">
        <v>10</v>
      </c>
      <c r="B25" s="26" t="s">
        <v>55</v>
      </c>
      <c r="C25" s="16" t="s">
        <v>33</v>
      </c>
      <c r="D25" s="16" t="s">
        <v>33</v>
      </c>
      <c r="E25" s="43">
        <v>268.457</v>
      </c>
      <c r="F25" s="43">
        <v>268.457</v>
      </c>
      <c r="G25" s="47">
        <v>0.256</v>
      </c>
      <c r="H25" s="48" t="s">
        <v>56</v>
      </c>
      <c r="I25" s="51" t="s">
        <v>45</v>
      </c>
      <c r="J25" s="49"/>
      <c r="K25" s="50"/>
    </row>
    <row r="26" spans="1:11" ht="25.5">
      <c r="A26" s="42">
        <v>11</v>
      </c>
      <c r="B26" s="26" t="s">
        <v>57</v>
      </c>
      <c r="C26" s="16" t="s">
        <v>43</v>
      </c>
      <c r="D26" s="16" t="s">
        <v>29</v>
      </c>
      <c r="E26" s="43">
        <v>3480.8358499999995</v>
      </c>
      <c r="F26" s="43">
        <v>2127.33672</v>
      </c>
      <c r="G26" s="47">
        <v>2.911</v>
      </c>
      <c r="H26" s="48" t="s">
        <v>54</v>
      </c>
      <c r="I26" s="51" t="s">
        <v>58</v>
      </c>
      <c r="J26" s="49"/>
      <c r="K26" s="50"/>
    </row>
    <row r="27" spans="1:11" ht="25.5">
      <c r="A27" s="42">
        <v>12</v>
      </c>
      <c r="B27" s="26" t="s">
        <v>59</v>
      </c>
      <c r="C27" s="16" t="s">
        <v>29</v>
      </c>
      <c r="D27" s="16" t="s">
        <v>60</v>
      </c>
      <c r="E27" s="43">
        <v>524.96</v>
      </c>
      <c r="F27" s="43">
        <v>457.16300000000007</v>
      </c>
      <c r="G27" s="47">
        <v>0.18901</v>
      </c>
      <c r="H27" s="48" t="s">
        <v>61</v>
      </c>
      <c r="I27" s="51" t="s">
        <v>45</v>
      </c>
      <c r="J27" s="49"/>
      <c r="K27" s="50"/>
    </row>
    <row r="28" spans="1:11" ht="25.5">
      <c r="A28" s="42">
        <v>13</v>
      </c>
      <c r="B28" s="26" t="s">
        <v>62</v>
      </c>
      <c r="C28" s="16" t="s">
        <v>60</v>
      </c>
      <c r="D28" s="16" t="s">
        <v>63</v>
      </c>
      <c r="E28" s="43">
        <v>4248.223</v>
      </c>
      <c r="F28" s="43">
        <v>1684.7690000000002</v>
      </c>
      <c r="G28" s="47">
        <v>3.132</v>
      </c>
      <c r="H28" s="48" t="s">
        <v>64</v>
      </c>
      <c r="I28" s="51" t="s">
        <v>45</v>
      </c>
      <c r="J28" s="49"/>
      <c r="K28" s="50"/>
    </row>
    <row r="29" spans="1:11" ht="38.25">
      <c r="A29" s="42">
        <v>14</v>
      </c>
      <c r="B29" s="26" t="s">
        <v>65</v>
      </c>
      <c r="C29" s="16" t="s">
        <v>43</v>
      </c>
      <c r="D29" s="16" t="s">
        <v>29</v>
      </c>
      <c r="E29" s="43">
        <v>6268.2841499999995</v>
      </c>
      <c r="F29" s="43">
        <v>95.535</v>
      </c>
      <c r="G29" s="47">
        <v>3.638</v>
      </c>
      <c r="H29" s="48" t="s">
        <v>66</v>
      </c>
      <c r="I29" s="51" t="s">
        <v>58</v>
      </c>
      <c r="J29" s="49"/>
      <c r="K29" s="50"/>
    </row>
    <row r="30" spans="1:11" ht="51">
      <c r="A30" s="42">
        <v>15</v>
      </c>
      <c r="B30" s="26" t="s">
        <v>67</v>
      </c>
      <c r="C30" s="16" t="s">
        <v>68</v>
      </c>
      <c r="D30" s="16" t="s">
        <v>29</v>
      </c>
      <c r="E30" s="43">
        <v>12542.23097</v>
      </c>
      <c r="F30" s="43">
        <v>0</v>
      </c>
      <c r="G30" s="47">
        <v>8.563</v>
      </c>
      <c r="H30" s="48" t="s">
        <v>69</v>
      </c>
      <c r="I30" s="51" t="s">
        <v>70</v>
      </c>
      <c r="J30" s="49"/>
      <c r="K30" s="50"/>
    </row>
    <row r="31" spans="1:11" ht="25.5">
      <c r="A31" s="42">
        <v>16</v>
      </c>
      <c r="B31" s="26" t="s">
        <v>71</v>
      </c>
      <c r="C31" s="16" t="s">
        <v>43</v>
      </c>
      <c r="D31" s="16" t="s">
        <v>29</v>
      </c>
      <c r="E31" s="43">
        <v>10444.14127</v>
      </c>
      <c r="F31" s="43">
        <v>4945.415</v>
      </c>
      <c r="G31" s="44">
        <v>10.02701</v>
      </c>
      <c r="H31" s="48" t="s">
        <v>40</v>
      </c>
      <c r="I31" s="52" t="s">
        <v>72</v>
      </c>
      <c r="J31" s="49"/>
      <c r="K31" s="50"/>
    </row>
    <row r="32" spans="1:11" ht="25.5">
      <c r="A32" s="42">
        <v>17</v>
      </c>
      <c r="B32" s="26" t="s">
        <v>73</v>
      </c>
      <c r="C32" s="16" t="s">
        <v>60</v>
      </c>
      <c r="D32" s="16" t="s">
        <v>30</v>
      </c>
      <c r="E32" s="43">
        <v>4545.461</v>
      </c>
      <c r="F32" s="43">
        <v>1758.578</v>
      </c>
      <c r="G32" s="44">
        <v>7.639</v>
      </c>
      <c r="H32" s="48" t="s">
        <v>48</v>
      </c>
      <c r="I32" s="45" t="s">
        <v>74</v>
      </c>
      <c r="J32" s="49"/>
      <c r="K32" s="50"/>
    </row>
    <row r="33" spans="1:11" ht="25.5">
      <c r="A33" s="42">
        <v>18</v>
      </c>
      <c r="B33" s="26" t="s">
        <v>75</v>
      </c>
      <c r="C33" s="16" t="s">
        <v>43</v>
      </c>
      <c r="D33" s="16" t="s">
        <v>33</v>
      </c>
      <c r="E33" s="43">
        <v>32164.67589</v>
      </c>
      <c r="F33" s="43">
        <v>16596.214</v>
      </c>
      <c r="G33" s="44">
        <v>16.355749999999997</v>
      </c>
      <c r="H33" s="48" t="s">
        <v>76</v>
      </c>
      <c r="I33" s="51" t="s">
        <v>77</v>
      </c>
      <c r="J33" s="49"/>
      <c r="K33" s="50"/>
    </row>
    <row r="34" spans="1:11" ht="25.5">
      <c r="A34" s="42">
        <v>19</v>
      </c>
      <c r="B34" s="26" t="s">
        <v>78</v>
      </c>
      <c r="C34" s="16" t="s">
        <v>29</v>
      </c>
      <c r="D34" s="16" t="s">
        <v>33</v>
      </c>
      <c r="E34" s="43">
        <v>916.8707899999999</v>
      </c>
      <c r="F34" s="43">
        <v>593.712</v>
      </c>
      <c r="G34" s="44">
        <v>0.2265</v>
      </c>
      <c r="H34" s="48" t="s">
        <v>76</v>
      </c>
      <c r="I34" s="51" t="s">
        <v>79</v>
      </c>
      <c r="J34" s="49"/>
      <c r="K34" s="50"/>
    </row>
    <row r="35" spans="1:11" ht="25.5">
      <c r="A35" s="42">
        <v>20</v>
      </c>
      <c r="B35" s="26" t="s">
        <v>80</v>
      </c>
      <c r="C35" s="16" t="s">
        <v>43</v>
      </c>
      <c r="D35" s="16" t="s">
        <v>24</v>
      </c>
      <c r="E35" s="43">
        <v>9350.997399999998</v>
      </c>
      <c r="F35" s="43">
        <v>741.389</v>
      </c>
      <c r="G35" s="44">
        <v>6.923800000000001</v>
      </c>
      <c r="H35" s="48" t="s">
        <v>81</v>
      </c>
      <c r="I35" s="51" t="s">
        <v>82</v>
      </c>
      <c r="J35" s="49"/>
      <c r="K35" s="50"/>
    </row>
    <row r="36" spans="1:11" ht="25.5">
      <c r="A36" s="42">
        <v>21</v>
      </c>
      <c r="B36" s="26" t="s">
        <v>83</v>
      </c>
      <c r="C36" s="16" t="s">
        <v>33</v>
      </c>
      <c r="D36" s="16" t="s">
        <v>60</v>
      </c>
      <c r="E36" s="43">
        <v>7136.659000000001</v>
      </c>
      <c r="F36" s="43">
        <v>7136.659000000001</v>
      </c>
      <c r="G36" s="44">
        <v>2.63833</v>
      </c>
      <c r="H36" s="48" t="s">
        <v>84</v>
      </c>
      <c r="I36" s="48" t="s">
        <v>85</v>
      </c>
      <c r="J36" s="49"/>
      <c r="K36" s="50"/>
    </row>
    <row r="37" spans="1:11" ht="25.5">
      <c r="A37" s="42">
        <v>22</v>
      </c>
      <c r="B37" s="26" t="s">
        <v>86</v>
      </c>
      <c r="C37" s="16" t="s">
        <v>29</v>
      </c>
      <c r="D37" s="16" t="s">
        <v>33</v>
      </c>
      <c r="E37" s="43">
        <v>2240.903</v>
      </c>
      <c r="F37" s="43">
        <v>2240.903</v>
      </c>
      <c r="G37" s="44">
        <v>3.85255</v>
      </c>
      <c r="H37" s="48" t="s">
        <v>48</v>
      </c>
      <c r="I37" s="45" t="s">
        <v>87</v>
      </c>
      <c r="J37" s="49"/>
      <c r="K37" s="50"/>
    </row>
    <row r="38" spans="1:11" ht="25.5">
      <c r="A38" s="42">
        <v>23</v>
      </c>
      <c r="B38" s="26" t="s">
        <v>88</v>
      </c>
      <c r="C38" s="16" t="s">
        <v>33</v>
      </c>
      <c r="D38" s="16" t="s">
        <v>63</v>
      </c>
      <c r="E38" s="43">
        <v>45881.508</v>
      </c>
      <c r="F38" s="43">
        <v>6382.576</v>
      </c>
      <c r="G38" s="44">
        <v>13.313</v>
      </c>
      <c r="H38" s="48" t="s">
        <v>89</v>
      </c>
      <c r="I38" s="48"/>
      <c r="J38" s="49"/>
      <c r="K38" s="50"/>
    </row>
    <row r="39" spans="1:11" ht="38.25">
      <c r="A39" s="42">
        <v>24</v>
      </c>
      <c r="B39" s="26" t="s">
        <v>90</v>
      </c>
      <c r="C39" s="16" t="s">
        <v>33</v>
      </c>
      <c r="D39" s="16" t="s">
        <v>63</v>
      </c>
      <c r="E39" s="43">
        <v>3450.351</v>
      </c>
      <c r="F39" s="43">
        <v>1740.478</v>
      </c>
      <c r="G39" s="44">
        <v>4.337</v>
      </c>
      <c r="H39" s="48" t="s">
        <v>37</v>
      </c>
      <c r="I39" s="45" t="s">
        <v>41</v>
      </c>
      <c r="J39" s="49"/>
      <c r="K39" s="50"/>
    </row>
    <row r="40" spans="1:11" ht="25.5">
      <c r="A40" s="42">
        <v>25</v>
      </c>
      <c r="B40" s="26" t="s">
        <v>91</v>
      </c>
      <c r="C40" s="16" t="s">
        <v>43</v>
      </c>
      <c r="D40" s="16" t="s">
        <v>33</v>
      </c>
      <c r="E40" s="43">
        <v>21149.31901</v>
      </c>
      <c r="F40" s="43">
        <v>14235.474</v>
      </c>
      <c r="G40" s="44">
        <v>43.17</v>
      </c>
      <c r="H40" s="48" t="s">
        <v>92</v>
      </c>
      <c r="I40" s="45" t="s">
        <v>93</v>
      </c>
      <c r="J40" s="49"/>
      <c r="K40" s="50"/>
    </row>
    <row r="41" spans="1:11" ht="25.5">
      <c r="A41" s="42">
        <v>26</v>
      </c>
      <c r="B41" s="26" t="s">
        <v>94</v>
      </c>
      <c r="C41" s="16" t="s">
        <v>43</v>
      </c>
      <c r="D41" s="16" t="s">
        <v>33</v>
      </c>
      <c r="E41" s="43">
        <v>1540.75352</v>
      </c>
      <c r="F41" s="43">
        <v>0.126</v>
      </c>
      <c r="G41" s="44">
        <v>3.8819999999999997</v>
      </c>
      <c r="H41" s="48" t="s">
        <v>95</v>
      </c>
      <c r="I41" s="51" t="s">
        <v>82</v>
      </c>
      <c r="J41" s="49"/>
      <c r="K41" s="50"/>
    </row>
    <row r="42" spans="1:11" ht="25.5">
      <c r="A42" s="42">
        <v>27</v>
      </c>
      <c r="B42" s="26" t="s">
        <v>96</v>
      </c>
      <c r="C42" s="16" t="s">
        <v>60</v>
      </c>
      <c r="D42" s="16" t="s">
        <v>60</v>
      </c>
      <c r="E42" s="43">
        <v>868.3620000000001</v>
      </c>
      <c r="F42" s="43">
        <v>868.3620000000001</v>
      </c>
      <c r="G42" s="44">
        <v>0.5422</v>
      </c>
      <c r="H42" s="48" t="s">
        <v>34</v>
      </c>
      <c r="I42" s="51" t="s">
        <v>45</v>
      </c>
      <c r="J42" s="49"/>
      <c r="K42" s="50"/>
    </row>
    <row r="43" spans="1:11" ht="25.5">
      <c r="A43" s="42">
        <v>28</v>
      </c>
      <c r="B43" s="26" t="s">
        <v>97</v>
      </c>
      <c r="C43" s="16" t="s">
        <v>60</v>
      </c>
      <c r="D43" s="16" t="s">
        <v>60</v>
      </c>
      <c r="E43" s="43">
        <v>5346.706</v>
      </c>
      <c r="F43" s="43">
        <v>5346.706</v>
      </c>
      <c r="G43" s="44">
        <v>5.6474</v>
      </c>
      <c r="H43" s="48" t="s">
        <v>34</v>
      </c>
      <c r="I43" s="51" t="s">
        <v>45</v>
      </c>
      <c r="J43" s="49"/>
      <c r="K43" s="50"/>
    </row>
    <row r="44" spans="1:9" ht="12.75">
      <c r="A44" s="34"/>
      <c r="B44" s="35" t="s">
        <v>98</v>
      </c>
      <c r="C44" s="36"/>
      <c r="D44" s="36"/>
      <c r="E44" s="37">
        <f>SUM(E45:E87)</f>
        <v>58553.62999999999</v>
      </c>
      <c r="F44" s="37">
        <f>SUM(F45:F87)</f>
        <v>42307.136000000006</v>
      </c>
      <c r="G44" s="53"/>
      <c r="H44" s="53"/>
      <c r="I44" s="53"/>
    </row>
    <row r="45" spans="1:11" ht="12.75">
      <c r="A45" s="54">
        <v>1</v>
      </c>
      <c r="B45" s="61" t="s">
        <v>99</v>
      </c>
      <c r="C45" s="55">
        <v>2009</v>
      </c>
      <c r="D45" s="18" t="s">
        <v>60</v>
      </c>
      <c r="E45" s="56">
        <v>31922.77</v>
      </c>
      <c r="F45" s="57">
        <v>22322.86</v>
      </c>
      <c r="G45" s="58"/>
      <c r="H45" s="58"/>
      <c r="I45" s="58"/>
      <c r="K45" s="59"/>
    </row>
    <row r="46" spans="1:9" ht="25.5">
      <c r="A46" s="54">
        <v>2</v>
      </c>
      <c r="B46" s="61" t="s">
        <v>100</v>
      </c>
      <c r="C46" s="18" t="s">
        <v>24</v>
      </c>
      <c r="D46" s="18" t="s">
        <v>60</v>
      </c>
      <c r="E46" s="56">
        <v>17510.77</v>
      </c>
      <c r="F46" s="60">
        <f>(17426.02+84.75)*0.72</f>
        <v>12607.7544</v>
      </c>
      <c r="G46" s="58"/>
      <c r="H46" s="58"/>
      <c r="I46" s="58"/>
    </row>
    <row r="47" spans="1:11" ht="12.75">
      <c r="A47" s="54">
        <v>3</v>
      </c>
      <c r="B47" s="61" t="s">
        <v>101</v>
      </c>
      <c r="C47" s="18" t="s">
        <v>43</v>
      </c>
      <c r="D47" s="18" t="s">
        <v>29</v>
      </c>
      <c r="E47" s="56">
        <v>1864.42</v>
      </c>
      <c r="F47" s="60">
        <f>1606.61+3.57</f>
        <v>1610.1799999999998</v>
      </c>
      <c r="G47" s="58"/>
      <c r="H47" s="58"/>
      <c r="I47" s="58"/>
      <c r="K47" s="59"/>
    </row>
    <row r="48" spans="1:11" ht="26.25">
      <c r="A48" s="62">
        <v>4</v>
      </c>
      <c r="B48" s="61" t="s">
        <v>102</v>
      </c>
      <c r="C48" s="18" t="s">
        <v>24</v>
      </c>
      <c r="D48" s="18" t="s">
        <v>29</v>
      </c>
      <c r="E48" s="63">
        <v>381.36</v>
      </c>
      <c r="F48" s="60">
        <f>368.65+12.71</f>
        <v>381.35999999999996</v>
      </c>
      <c r="G48" s="58"/>
      <c r="H48" s="58"/>
      <c r="I48" s="58"/>
      <c r="K48" s="59"/>
    </row>
    <row r="49" spans="1:9" ht="38.25">
      <c r="A49" s="54">
        <v>5</v>
      </c>
      <c r="B49" s="61" t="s">
        <v>103</v>
      </c>
      <c r="C49" s="18" t="s">
        <v>33</v>
      </c>
      <c r="D49" s="18" t="s">
        <v>33</v>
      </c>
      <c r="E49" s="64">
        <v>1137.74</v>
      </c>
      <c r="F49" s="60">
        <f>(1116.8+20.94)*0.72</f>
        <v>819.1727999999999</v>
      </c>
      <c r="G49" s="58"/>
      <c r="H49" s="58"/>
      <c r="I49" s="58"/>
    </row>
    <row r="50" spans="1:9" ht="13.5">
      <c r="A50" s="65"/>
      <c r="B50" s="66" t="s">
        <v>104</v>
      </c>
      <c r="C50" s="18"/>
      <c r="D50" s="18"/>
      <c r="E50" s="64"/>
      <c r="F50" s="60"/>
      <c r="G50" s="58"/>
      <c r="H50" s="58"/>
      <c r="I50" s="58"/>
    </row>
    <row r="51" spans="1:9" ht="25.5">
      <c r="A51" s="65">
        <v>1</v>
      </c>
      <c r="B51" s="67" t="s">
        <v>105</v>
      </c>
      <c r="C51" s="18" t="s">
        <v>33</v>
      </c>
      <c r="D51" s="18" t="s">
        <v>33</v>
      </c>
      <c r="E51" s="64">
        <v>238.47</v>
      </c>
      <c r="F51" s="60">
        <f>218.78+19.69</f>
        <v>238.47</v>
      </c>
      <c r="G51" s="58"/>
      <c r="H51" s="58"/>
      <c r="I51" s="58"/>
    </row>
    <row r="52" spans="1:9" ht="12.75">
      <c r="A52" s="65">
        <v>2</v>
      </c>
      <c r="B52" s="67" t="s">
        <v>106</v>
      </c>
      <c r="C52" s="18" t="s">
        <v>33</v>
      </c>
      <c r="D52" s="18" t="s">
        <v>33</v>
      </c>
      <c r="E52" s="64">
        <v>131.22</v>
      </c>
      <c r="F52" s="60">
        <f>(119.58+11.64)*0</f>
        <v>0</v>
      </c>
      <c r="G52" s="58"/>
      <c r="H52" s="58"/>
      <c r="I52" s="58"/>
    </row>
    <row r="53" spans="1:9" ht="12.75">
      <c r="A53" s="65">
        <v>3</v>
      </c>
      <c r="B53" s="67" t="s">
        <v>107</v>
      </c>
      <c r="C53" s="18" t="s">
        <v>33</v>
      </c>
      <c r="D53" s="18" t="s">
        <v>33</v>
      </c>
      <c r="E53" s="64">
        <v>206.67</v>
      </c>
      <c r="F53" s="60">
        <f>(186.98+19.69)*0.72</f>
        <v>148.80239999999998</v>
      </c>
      <c r="G53" s="58"/>
      <c r="H53" s="58"/>
      <c r="I53" s="58"/>
    </row>
    <row r="54" spans="1:9" ht="12.75">
      <c r="A54" s="65">
        <v>4</v>
      </c>
      <c r="B54" s="67" t="s">
        <v>108</v>
      </c>
      <c r="C54" s="18" t="s">
        <v>33</v>
      </c>
      <c r="D54" s="18" t="s">
        <v>33</v>
      </c>
      <c r="E54" s="64">
        <v>223.33</v>
      </c>
      <c r="F54" s="60">
        <f>203.64+19.69</f>
        <v>223.32999999999998</v>
      </c>
      <c r="G54" s="58"/>
      <c r="H54" s="58"/>
      <c r="I54" s="58"/>
    </row>
    <row r="55" spans="1:9" ht="12.75">
      <c r="A55" s="65">
        <v>5</v>
      </c>
      <c r="B55" s="67" t="s">
        <v>109</v>
      </c>
      <c r="C55" s="18" t="s">
        <v>33</v>
      </c>
      <c r="D55" s="18" t="s">
        <v>33</v>
      </c>
      <c r="E55" s="64">
        <v>85.95</v>
      </c>
      <c r="F55" s="60">
        <f>(77.45+8.5)*0.72</f>
        <v>61.884</v>
      </c>
      <c r="G55" s="58"/>
      <c r="H55" s="58"/>
      <c r="I55" s="58"/>
    </row>
    <row r="56" spans="1:9" ht="25.5">
      <c r="A56" s="65">
        <v>6</v>
      </c>
      <c r="B56" s="67" t="s">
        <v>110</v>
      </c>
      <c r="C56" s="18" t="s">
        <v>33</v>
      </c>
      <c r="D56" s="18" t="s">
        <v>33</v>
      </c>
      <c r="E56" s="64">
        <v>85.95</v>
      </c>
      <c r="F56" s="60">
        <f>(77.45+8.5)*0.72</f>
        <v>61.884</v>
      </c>
      <c r="G56" s="58"/>
      <c r="H56" s="58"/>
      <c r="I56" s="58"/>
    </row>
    <row r="57" spans="1:9" ht="12.75">
      <c r="A57" s="65">
        <v>7</v>
      </c>
      <c r="B57" s="67" t="s">
        <v>111</v>
      </c>
      <c r="C57" s="18" t="s">
        <v>33</v>
      </c>
      <c r="D57" s="18" t="s">
        <v>33</v>
      </c>
      <c r="E57" s="64">
        <v>98.79</v>
      </c>
      <c r="F57" s="60">
        <f>90.29+8.5</f>
        <v>98.79</v>
      </c>
      <c r="G57" s="58"/>
      <c r="H57" s="58"/>
      <c r="I57" s="58"/>
    </row>
    <row r="58" spans="1:9" ht="12.75">
      <c r="A58" s="65">
        <v>8</v>
      </c>
      <c r="B58" s="67" t="s">
        <v>112</v>
      </c>
      <c r="C58" s="18" t="s">
        <v>33</v>
      </c>
      <c r="D58" s="18" t="s">
        <v>33</v>
      </c>
      <c r="E58" s="64">
        <v>114.22</v>
      </c>
      <c r="F58" s="60">
        <f>(94.53+19.69)*0.72</f>
        <v>82.2384</v>
      </c>
      <c r="G58" s="58"/>
      <c r="H58" s="58"/>
      <c r="I58" s="58"/>
    </row>
    <row r="59" spans="1:9" ht="12.75">
      <c r="A59" s="65">
        <v>9</v>
      </c>
      <c r="B59" s="67" t="s">
        <v>113</v>
      </c>
      <c r="C59" s="18" t="s">
        <v>33</v>
      </c>
      <c r="D59" s="18" t="s">
        <v>33</v>
      </c>
      <c r="E59" s="64">
        <v>227.51</v>
      </c>
      <c r="F59" s="60">
        <f>207.82+19.69</f>
        <v>227.51</v>
      </c>
      <c r="G59" s="58"/>
      <c r="H59" s="58"/>
      <c r="I59" s="58"/>
    </row>
    <row r="60" spans="1:9" ht="25.5">
      <c r="A60" s="65">
        <v>10</v>
      </c>
      <c r="B60" s="67" t="s">
        <v>114</v>
      </c>
      <c r="C60" s="18" t="s">
        <v>33</v>
      </c>
      <c r="D60" s="18" t="s">
        <v>33</v>
      </c>
      <c r="E60" s="64">
        <v>218.51</v>
      </c>
      <c r="F60" s="60">
        <f>(198.82+19.69)*0.72</f>
        <v>157.32719999999998</v>
      </c>
      <c r="G60" s="58"/>
      <c r="H60" s="58"/>
      <c r="I60" s="58"/>
    </row>
    <row r="61" spans="1:9" ht="25.5">
      <c r="A61" s="65">
        <v>11</v>
      </c>
      <c r="B61" s="67" t="s">
        <v>115</v>
      </c>
      <c r="C61" s="18" t="s">
        <v>33</v>
      </c>
      <c r="D61" s="18" t="s">
        <v>33</v>
      </c>
      <c r="E61" s="64">
        <v>132.75</v>
      </c>
      <c r="F61" s="60">
        <f>(121.11+11.64)*0.72</f>
        <v>95.58</v>
      </c>
      <c r="G61" s="58"/>
      <c r="H61" s="58"/>
      <c r="I61" s="58"/>
    </row>
    <row r="62" spans="1:9" ht="25.5">
      <c r="A62" s="65">
        <v>12</v>
      </c>
      <c r="B62" s="67" t="s">
        <v>116</v>
      </c>
      <c r="C62" s="18" t="s">
        <v>33</v>
      </c>
      <c r="D62" s="18" t="s">
        <v>33</v>
      </c>
      <c r="E62" s="64">
        <v>229.69</v>
      </c>
      <c r="F62" s="60">
        <f>(210+19.69)*0.72</f>
        <v>165.3768</v>
      </c>
      <c r="G62" s="58"/>
      <c r="H62" s="58"/>
      <c r="I62" s="58"/>
    </row>
    <row r="63" spans="1:9" ht="12.75">
      <c r="A63" s="65">
        <v>13</v>
      </c>
      <c r="B63" s="67" t="s">
        <v>117</v>
      </c>
      <c r="C63" s="18" t="s">
        <v>33</v>
      </c>
      <c r="D63" s="18" t="s">
        <v>33</v>
      </c>
      <c r="E63" s="64">
        <v>230.59</v>
      </c>
      <c r="F63" s="60">
        <f>(210.9+19.69)*0.72</f>
        <v>166.0248</v>
      </c>
      <c r="G63" s="58"/>
      <c r="H63" s="58"/>
      <c r="I63" s="58"/>
    </row>
    <row r="64" spans="1:9" ht="12.75">
      <c r="A64" s="65">
        <v>14</v>
      </c>
      <c r="B64" s="67" t="s">
        <v>118</v>
      </c>
      <c r="C64" s="18" t="s">
        <v>33</v>
      </c>
      <c r="D64" s="18" t="s">
        <v>33</v>
      </c>
      <c r="E64" s="64">
        <v>97.09</v>
      </c>
      <c r="F64" s="60">
        <f>(88.59+8.5)*0.72</f>
        <v>69.9048</v>
      </c>
      <c r="G64" s="58"/>
      <c r="H64" s="58"/>
      <c r="I64" s="58"/>
    </row>
    <row r="65" spans="1:9" ht="12.75">
      <c r="A65" s="65">
        <v>15</v>
      </c>
      <c r="B65" s="67" t="s">
        <v>119</v>
      </c>
      <c r="C65" s="18" t="s">
        <v>33</v>
      </c>
      <c r="D65" s="18" t="s">
        <v>33</v>
      </c>
      <c r="E65" s="64">
        <v>95.97</v>
      </c>
      <c r="F65" s="60">
        <f>(87.47+8.5)*0.72</f>
        <v>69.0984</v>
      </c>
      <c r="G65" s="58"/>
      <c r="H65" s="58"/>
      <c r="I65" s="58"/>
    </row>
    <row r="66" spans="1:9" ht="12.75">
      <c r="A66" s="65">
        <v>16</v>
      </c>
      <c r="B66" s="67" t="s">
        <v>120</v>
      </c>
      <c r="C66" s="18" t="s">
        <v>33</v>
      </c>
      <c r="D66" s="18" t="s">
        <v>33</v>
      </c>
      <c r="E66" s="64">
        <v>78.96</v>
      </c>
      <c r="F66" s="60">
        <f>(70.46+8.5)*0.72</f>
        <v>56.85119999999999</v>
      </c>
      <c r="G66" s="58"/>
      <c r="H66" s="58"/>
      <c r="I66" s="58"/>
    </row>
    <row r="67" spans="1:9" ht="12.75">
      <c r="A67" s="65">
        <v>17</v>
      </c>
      <c r="B67" s="67" t="s">
        <v>121</v>
      </c>
      <c r="C67" s="18" t="s">
        <v>33</v>
      </c>
      <c r="D67" s="18" t="s">
        <v>33</v>
      </c>
      <c r="E67" s="64">
        <v>82.86</v>
      </c>
      <c r="F67" s="60">
        <f>74.36+8.5</f>
        <v>82.86</v>
      </c>
      <c r="G67" s="58"/>
      <c r="H67" s="58"/>
      <c r="I67" s="58"/>
    </row>
    <row r="68" spans="1:9" ht="12.75">
      <c r="A68" s="65">
        <v>18</v>
      </c>
      <c r="B68" s="67" t="s">
        <v>122</v>
      </c>
      <c r="C68" s="18" t="s">
        <v>33</v>
      </c>
      <c r="D68" s="18" t="s">
        <v>33</v>
      </c>
      <c r="E68" s="64">
        <v>82.86</v>
      </c>
      <c r="F68" s="60">
        <f>(74.36+8.5)*0.72</f>
        <v>59.6592</v>
      </c>
      <c r="G68" s="58"/>
      <c r="H68" s="58"/>
      <c r="I68" s="58"/>
    </row>
    <row r="69" spans="1:9" ht="27">
      <c r="A69" s="68"/>
      <c r="B69" s="69" t="s">
        <v>123</v>
      </c>
      <c r="C69" s="18"/>
      <c r="D69" s="70"/>
      <c r="E69" s="64"/>
      <c r="F69" s="60"/>
      <c r="G69" s="58"/>
      <c r="H69" s="58"/>
      <c r="I69" s="58"/>
    </row>
    <row r="70" spans="1:9" ht="12.75">
      <c r="A70" s="65">
        <v>1</v>
      </c>
      <c r="B70" s="71" t="s">
        <v>124</v>
      </c>
      <c r="C70" s="18" t="s">
        <v>33</v>
      </c>
      <c r="D70" s="18" t="s">
        <v>33</v>
      </c>
      <c r="E70" s="64">
        <v>137.92</v>
      </c>
      <c r="F70" s="60">
        <f>(124.15+13.77)*0.72</f>
        <v>99.3024</v>
      </c>
      <c r="G70" s="58"/>
      <c r="H70" s="58"/>
      <c r="I70" s="58"/>
    </row>
    <row r="71" spans="1:9" ht="12.75">
      <c r="A71" s="65">
        <v>2</v>
      </c>
      <c r="B71" s="71" t="s">
        <v>125</v>
      </c>
      <c r="C71" s="18" t="s">
        <v>33</v>
      </c>
      <c r="D71" s="18" t="s">
        <v>60</v>
      </c>
      <c r="E71" s="64">
        <v>128.67</v>
      </c>
      <c r="F71" s="60">
        <f>(114.91+13.76)*0.72</f>
        <v>92.64239999999998</v>
      </c>
      <c r="G71" s="58"/>
      <c r="H71" s="58"/>
      <c r="I71" s="58"/>
    </row>
    <row r="72" spans="1:9" ht="12.75">
      <c r="A72" s="65">
        <v>3</v>
      </c>
      <c r="B72" s="67" t="s">
        <v>126</v>
      </c>
      <c r="C72" s="18" t="s">
        <v>33</v>
      </c>
      <c r="D72" s="18" t="s">
        <v>60</v>
      </c>
      <c r="E72" s="64">
        <v>140.75</v>
      </c>
      <c r="F72" s="60">
        <f>(126.98+13.77)*0.72</f>
        <v>101.33999999999999</v>
      </c>
      <c r="G72" s="58"/>
      <c r="H72" s="58"/>
      <c r="I72" s="58"/>
    </row>
    <row r="73" spans="1:9" ht="38.25">
      <c r="A73" s="65">
        <v>4</v>
      </c>
      <c r="B73" s="67" t="s">
        <v>127</v>
      </c>
      <c r="C73" s="18" t="s">
        <v>33</v>
      </c>
      <c r="D73" s="18" t="s">
        <v>60</v>
      </c>
      <c r="E73" s="64">
        <v>225.79</v>
      </c>
      <c r="F73" s="60">
        <f>(205.14+20.65)*0.72</f>
        <v>162.56879999999998</v>
      </c>
      <c r="G73" s="58"/>
      <c r="H73" s="58"/>
      <c r="I73" s="58"/>
    </row>
    <row r="74" spans="1:9" ht="12.75">
      <c r="A74" s="65">
        <v>5</v>
      </c>
      <c r="B74" s="71" t="s">
        <v>128</v>
      </c>
      <c r="C74" s="18" t="s">
        <v>33</v>
      </c>
      <c r="D74" s="18" t="s">
        <v>60</v>
      </c>
      <c r="E74" s="64">
        <v>167.52</v>
      </c>
      <c r="F74" s="60">
        <f>146.93+20.69</f>
        <v>167.62</v>
      </c>
      <c r="G74" s="58"/>
      <c r="H74" s="58"/>
      <c r="I74" s="58"/>
    </row>
    <row r="75" spans="1:9" ht="38.25">
      <c r="A75" s="65">
        <v>6</v>
      </c>
      <c r="B75" s="67" t="s">
        <v>129</v>
      </c>
      <c r="C75" s="18" t="s">
        <v>33</v>
      </c>
      <c r="D75" s="18" t="s">
        <v>60</v>
      </c>
      <c r="E75" s="64">
        <v>288.88</v>
      </c>
      <c r="F75" s="60">
        <f>(261.64+27.24)*0.72</f>
        <v>207.9936</v>
      </c>
      <c r="G75" s="58"/>
      <c r="H75" s="58"/>
      <c r="I75" s="58"/>
    </row>
    <row r="76" spans="1:9" ht="25.5">
      <c r="A76" s="65">
        <v>7</v>
      </c>
      <c r="B76" s="71" t="s">
        <v>130</v>
      </c>
      <c r="C76" s="18" t="s">
        <v>33</v>
      </c>
      <c r="D76" s="18" t="s">
        <v>33</v>
      </c>
      <c r="E76" s="64">
        <v>92.55</v>
      </c>
      <c r="F76" s="60">
        <f>82.77+9.78</f>
        <v>92.55</v>
      </c>
      <c r="G76" s="58"/>
      <c r="H76" s="58"/>
      <c r="I76" s="58"/>
    </row>
    <row r="77" spans="1:9" ht="12.75">
      <c r="A77" s="65">
        <v>8</v>
      </c>
      <c r="B77" s="67" t="s">
        <v>131</v>
      </c>
      <c r="C77" s="18" t="s">
        <v>33</v>
      </c>
      <c r="D77" s="18" t="s">
        <v>60</v>
      </c>
      <c r="E77" s="64">
        <v>203.63</v>
      </c>
      <c r="F77" s="60">
        <f>(190.01+13.62)*0+102+102*0.72</f>
        <v>175.44</v>
      </c>
      <c r="G77" s="58"/>
      <c r="H77" s="58"/>
      <c r="I77" s="58"/>
    </row>
    <row r="78" spans="1:9" ht="12.75">
      <c r="A78" s="65">
        <v>9</v>
      </c>
      <c r="B78" s="67" t="s">
        <v>132</v>
      </c>
      <c r="C78" s="18" t="s">
        <v>33</v>
      </c>
      <c r="D78" s="18" t="s">
        <v>60</v>
      </c>
      <c r="E78" s="64">
        <v>63.43</v>
      </c>
      <c r="F78" s="60">
        <f>(53.65+9.78)*0</f>
        <v>0</v>
      </c>
      <c r="G78" s="58"/>
      <c r="H78" s="58"/>
      <c r="I78" s="58"/>
    </row>
    <row r="79" spans="1:9" ht="12.75">
      <c r="A79" s="65">
        <f aca="true" t="shared" si="0" ref="A79:A87">A78+1</f>
        <v>10</v>
      </c>
      <c r="B79" s="67" t="s">
        <v>133</v>
      </c>
      <c r="C79" s="18" t="s">
        <v>33</v>
      </c>
      <c r="D79" s="18" t="s">
        <v>60</v>
      </c>
      <c r="E79" s="64">
        <v>151.41</v>
      </c>
      <c r="F79" s="60">
        <f>137.79+13.62</f>
        <v>151.41</v>
      </c>
      <c r="G79" s="58"/>
      <c r="H79" s="58"/>
      <c r="I79" s="58"/>
    </row>
    <row r="80" spans="1:9" ht="25.5">
      <c r="A80" s="65">
        <f t="shared" si="0"/>
        <v>11</v>
      </c>
      <c r="B80" s="71" t="s">
        <v>134</v>
      </c>
      <c r="C80" s="18" t="s">
        <v>33</v>
      </c>
      <c r="D80" s="18" t="s">
        <v>60</v>
      </c>
      <c r="E80" s="72">
        <v>181.82</v>
      </c>
      <c r="F80" s="72">
        <f>(168.2+13.62)*0.72</f>
        <v>130.91039999999998</v>
      </c>
      <c r="G80" s="58"/>
      <c r="H80" s="58"/>
      <c r="I80" s="58"/>
    </row>
    <row r="81" spans="1:9" ht="12.75">
      <c r="A81" s="65">
        <f t="shared" si="0"/>
        <v>12</v>
      </c>
      <c r="B81" s="67" t="s">
        <v>135</v>
      </c>
      <c r="C81" s="18" t="s">
        <v>33</v>
      </c>
      <c r="D81" s="18" t="s">
        <v>60</v>
      </c>
      <c r="E81" s="73">
        <v>89.16</v>
      </c>
      <c r="F81" s="73">
        <f>(79.38+9.78)*0.72</f>
        <v>64.1952</v>
      </c>
      <c r="G81" s="58"/>
      <c r="H81" s="58"/>
      <c r="I81" s="58"/>
    </row>
    <row r="82" spans="1:9" ht="12.75">
      <c r="A82" s="65">
        <f t="shared" si="0"/>
        <v>13</v>
      </c>
      <c r="B82" s="71" t="s">
        <v>136</v>
      </c>
      <c r="C82" s="18" t="s">
        <v>33</v>
      </c>
      <c r="D82" s="18" t="s">
        <v>60</v>
      </c>
      <c r="E82" s="74">
        <v>86.99</v>
      </c>
      <c r="F82" s="74">
        <f>66.56+20.43</f>
        <v>86.99000000000001</v>
      </c>
      <c r="G82" s="58"/>
      <c r="H82" s="58"/>
      <c r="I82" s="58"/>
    </row>
    <row r="83" spans="1:9" ht="12.75">
      <c r="A83" s="65">
        <f t="shared" si="0"/>
        <v>14</v>
      </c>
      <c r="B83" s="71" t="s">
        <v>137</v>
      </c>
      <c r="C83" s="18" t="s">
        <v>33</v>
      </c>
      <c r="D83" s="18" t="s">
        <v>33</v>
      </c>
      <c r="E83" s="74">
        <v>105.98</v>
      </c>
      <c r="F83" s="74">
        <f>(99.1+6.88)*0.72</f>
        <v>76.30559999999998</v>
      </c>
      <c r="G83" s="58"/>
      <c r="H83" s="58"/>
      <c r="I83" s="58"/>
    </row>
    <row r="84" spans="1:9" ht="38.25">
      <c r="A84" s="65">
        <f t="shared" si="0"/>
        <v>15</v>
      </c>
      <c r="B84" s="71" t="s">
        <v>138</v>
      </c>
      <c r="C84" s="18" t="s">
        <v>33</v>
      </c>
      <c r="D84" s="18" t="s">
        <v>60</v>
      </c>
      <c r="E84" s="74">
        <v>198.27</v>
      </c>
      <c r="F84" s="74">
        <f>(175.55+22.72)*0.72</f>
        <v>142.7544</v>
      </c>
      <c r="G84" s="58"/>
      <c r="H84" s="58"/>
      <c r="I84" s="58"/>
    </row>
    <row r="85" spans="1:9" ht="12.75">
      <c r="A85" s="65">
        <f t="shared" si="0"/>
        <v>16</v>
      </c>
      <c r="B85" s="71" t="s">
        <v>139</v>
      </c>
      <c r="C85" s="18" t="s">
        <v>33</v>
      </c>
      <c r="D85" s="18" t="s">
        <v>60</v>
      </c>
      <c r="E85" s="74">
        <v>180.42</v>
      </c>
      <c r="F85" s="74">
        <f>(166.65+13.77)*0.72</f>
        <v>129.9024</v>
      </c>
      <c r="G85" s="58"/>
      <c r="H85" s="58"/>
      <c r="I85" s="58"/>
    </row>
    <row r="86" spans="1:9" ht="25.5">
      <c r="A86" s="65">
        <f t="shared" si="0"/>
        <v>17</v>
      </c>
      <c r="B86" s="71" t="s">
        <v>140</v>
      </c>
      <c r="C86" s="18" t="s">
        <v>33</v>
      </c>
      <c r="D86" s="18" t="s">
        <v>60</v>
      </c>
      <c r="E86" s="75">
        <v>48.92</v>
      </c>
      <c r="F86" s="75">
        <f>(42.04+6.88)*0.72</f>
        <v>35.2224</v>
      </c>
      <c r="G86" s="58"/>
      <c r="H86" s="58"/>
      <c r="I86" s="58"/>
    </row>
    <row r="87" spans="1:10" ht="25.5">
      <c r="A87" s="65">
        <f t="shared" si="0"/>
        <v>18</v>
      </c>
      <c r="B87" s="71" t="s">
        <v>141</v>
      </c>
      <c r="C87" s="18" t="s">
        <v>33</v>
      </c>
      <c r="D87" s="18" t="s">
        <v>60</v>
      </c>
      <c r="E87" s="75">
        <v>583.07</v>
      </c>
      <c r="F87" s="65">
        <f>530.71+52.36</f>
        <v>583.07</v>
      </c>
      <c r="G87" s="58"/>
      <c r="H87" s="58"/>
      <c r="I87" s="58"/>
      <c r="J87" s="76"/>
    </row>
    <row r="88" spans="1:9" ht="12.75">
      <c r="A88" s="30" t="s">
        <v>142</v>
      </c>
      <c r="B88" s="77" t="s">
        <v>143</v>
      </c>
      <c r="C88" s="32"/>
      <c r="D88" s="32"/>
      <c r="E88" s="33">
        <f>E89+E91+E179+E180</f>
        <v>253429.96354</v>
      </c>
      <c r="F88" s="33">
        <f>F89+F91+F179+F180</f>
        <v>137131.05880000003</v>
      </c>
      <c r="G88" s="32"/>
      <c r="H88" s="32"/>
      <c r="I88" s="32"/>
    </row>
    <row r="89" spans="1:10" s="84" customFormat="1" ht="12.75">
      <c r="A89" s="78"/>
      <c r="B89" s="35" t="s">
        <v>22</v>
      </c>
      <c r="C89" s="36"/>
      <c r="D89" s="36"/>
      <c r="E89" s="79">
        <f>E90</f>
        <v>3095.564</v>
      </c>
      <c r="F89" s="79">
        <f>F90</f>
        <v>3095.5640000000003</v>
      </c>
      <c r="G89" s="80">
        <f>G90</f>
        <v>0.34575</v>
      </c>
      <c r="H89" s="81"/>
      <c r="I89" s="82">
        <v>29</v>
      </c>
      <c r="J89" s="83"/>
    </row>
    <row r="90" spans="1:10" s="41" customFormat="1" ht="25.5">
      <c r="A90" s="85" t="s">
        <v>144</v>
      </c>
      <c r="B90" s="86" t="s">
        <v>145</v>
      </c>
      <c r="C90" s="18" t="s">
        <v>29</v>
      </c>
      <c r="D90" s="18" t="s">
        <v>29</v>
      </c>
      <c r="E90" s="43">
        <v>3095.564</v>
      </c>
      <c r="F90" s="43">
        <v>3095.5640000000003</v>
      </c>
      <c r="G90" s="47">
        <v>0.34575</v>
      </c>
      <c r="H90" s="48" t="s">
        <v>81</v>
      </c>
      <c r="I90" s="51" t="s">
        <v>146</v>
      </c>
      <c r="J90" s="87"/>
    </row>
    <row r="91" spans="1:10" s="84" customFormat="1" ht="12.75">
      <c r="A91" s="78"/>
      <c r="B91" s="35" t="s">
        <v>147</v>
      </c>
      <c r="C91" s="81"/>
      <c r="D91" s="81"/>
      <c r="E91" s="88">
        <f>SUM(E92:E178)</f>
        <v>57189.88954000001</v>
      </c>
      <c r="F91" s="88">
        <f>SUM(F92:F178)</f>
        <v>22533.380000000012</v>
      </c>
      <c r="G91" s="80">
        <f>SUM(G92:G178)</f>
        <v>30.46385</v>
      </c>
      <c r="H91" s="81"/>
      <c r="I91" s="82"/>
      <c r="J91" s="83"/>
    </row>
    <row r="92" spans="1:11" ht="12.75">
      <c r="A92" s="89">
        <v>1</v>
      </c>
      <c r="B92" s="86" t="s">
        <v>148</v>
      </c>
      <c r="C92" s="90" t="s">
        <v>29</v>
      </c>
      <c r="D92" s="90" t="s">
        <v>33</v>
      </c>
      <c r="E92" s="91">
        <v>145.309</v>
      </c>
      <c r="F92" s="91">
        <v>145.309</v>
      </c>
      <c r="G92" s="47">
        <v>0.3647</v>
      </c>
      <c r="H92" s="48" t="s">
        <v>149</v>
      </c>
      <c r="I92" s="51" t="s">
        <v>45</v>
      </c>
      <c r="J92" s="49"/>
      <c r="K92" s="92"/>
    </row>
    <row r="93" spans="1:11" ht="12.75">
      <c r="A93" s="89">
        <v>2</v>
      </c>
      <c r="B93" s="86" t="s">
        <v>150</v>
      </c>
      <c r="C93" s="51" t="s">
        <v>151</v>
      </c>
      <c r="D93" s="51" t="s">
        <v>152</v>
      </c>
      <c r="E93" s="91">
        <v>1161.36</v>
      </c>
      <c r="F93" s="91">
        <v>41.36</v>
      </c>
      <c r="G93" s="47">
        <v>0.53</v>
      </c>
      <c r="H93" s="48" t="s">
        <v>153</v>
      </c>
      <c r="I93" s="48"/>
      <c r="J93" s="49"/>
      <c r="K93" s="92"/>
    </row>
    <row r="94" spans="1:11" ht="25.5">
      <c r="A94" s="89">
        <v>3</v>
      </c>
      <c r="B94" s="86" t="s">
        <v>154</v>
      </c>
      <c r="C94" s="90" t="s">
        <v>43</v>
      </c>
      <c r="D94" s="90" t="s">
        <v>29</v>
      </c>
      <c r="E94" s="93">
        <v>601.4970000000001</v>
      </c>
      <c r="F94" s="43">
        <v>11.498000000000001</v>
      </c>
      <c r="G94" s="44">
        <v>0.279</v>
      </c>
      <c r="H94" s="48" t="s">
        <v>155</v>
      </c>
      <c r="I94" s="48"/>
      <c r="J94" s="49"/>
      <c r="K94" s="92"/>
    </row>
    <row r="95" spans="1:11" ht="25.5">
      <c r="A95" s="89">
        <v>4</v>
      </c>
      <c r="B95" s="86" t="s">
        <v>156</v>
      </c>
      <c r="C95" s="90" t="s">
        <v>60</v>
      </c>
      <c r="D95" s="90" t="s">
        <v>60</v>
      </c>
      <c r="E95" s="93">
        <v>632.6510000000001</v>
      </c>
      <c r="F95" s="43">
        <v>621.1790000000001</v>
      </c>
      <c r="G95" s="44">
        <v>0.22085</v>
      </c>
      <c r="H95" s="48" t="s">
        <v>157</v>
      </c>
      <c r="I95" s="51" t="s">
        <v>45</v>
      </c>
      <c r="J95" s="49"/>
      <c r="K95" s="92"/>
    </row>
    <row r="96" spans="1:11" ht="25.5">
      <c r="A96" s="89">
        <v>5</v>
      </c>
      <c r="B96" s="86" t="s">
        <v>158</v>
      </c>
      <c r="C96" s="51" t="s">
        <v>60</v>
      </c>
      <c r="D96" s="51" t="s">
        <v>60</v>
      </c>
      <c r="E96" s="93">
        <v>1049.329</v>
      </c>
      <c r="F96" s="43">
        <v>1037.076</v>
      </c>
      <c r="G96" s="44">
        <v>0.48385</v>
      </c>
      <c r="H96" s="48" t="s">
        <v>159</v>
      </c>
      <c r="I96" s="51" t="s">
        <v>45</v>
      </c>
      <c r="J96" s="49"/>
      <c r="K96" s="92"/>
    </row>
    <row r="97" spans="1:11" ht="25.5">
      <c r="A97" s="89">
        <v>6</v>
      </c>
      <c r="B97" s="86" t="s">
        <v>160</v>
      </c>
      <c r="C97" s="51" t="s">
        <v>151</v>
      </c>
      <c r="D97" s="51" t="s">
        <v>152</v>
      </c>
      <c r="E97" s="93">
        <v>743.815</v>
      </c>
      <c r="F97" s="43">
        <v>243.815</v>
      </c>
      <c r="G97" s="44">
        <v>0.342</v>
      </c>
      <c r="H97" s="48" t="s">
        <v>161</v>
      </c>
      <c r="I97" s="48"/>
      <c r="J97" s="49"/>
      <c r="K97" s="92"/>
    </row>
    <row r="98" spans="1:11" ht="25.5">
      <c r="A98" s="89">
        <v>7</v>
      </c>
      <c r="B98" s="86" t="s">
        <v>162</v>
      </c>
      <c r="C98" s="90" t="s">
        <v>43</v>
      </c>
      <c r="D98" s="90" t="s">
        <v>29</v>
      </c>
      <c r="E98" s="93">
        <v>423.276</v>
      </c>
      <c r="F98" s="43">
        <v>10.556999999999999</v>
      </c>
      <c r="G98" s="44">
        <v>0.1908</v>
      </c>
      <c r="H98" s="48" t="s">
        <v>163</v>
      </c>
      <c r="I98" s="48"/>
      <c r="J98" s="49"/>
      <c r="K98" s="92"/>
    </row>
    <row r="99" spans="1:11" ht="25.5">
      <c r="A99" s="89">
        <v>8</v>
      </c>
      <c r="B99" s="94" t="s">
        <v>164</v>
      </c>
      <c r="C99" s="90" t="s">
        <v>43</v>
      </c>
      <c r="D99" s="90" t="s">
        <v>29</v>
      </c>
      <c r="E99" s="93">
        <v>598.315</v>
      </c>
      <c r="F99" s="43"/>
      <c r="G99" s="44">
        <v>0.152</v>
      </c>
      <c r="H99" s="48" t="s">
        <v>165</v>
      </c>
      <c r="I99" s="48"/>
      <c r="J99" s="49"/>
      <c r="K99" s="92"/>
    </row>
    <row r="100" spans="1:11" ht="12.75">
      <c r="A100" s="89">
        <v>9</v>
      </c>
      <c r="B100" s="94" t="s">
        <v>166</v>
      </c>
      <c r="C100" s="90" t="s">
        <v>43</v>
      </c>
      <c r="D100" s="90" t="s">
        <v>29</v>
      </c>
      <c r="E100" s="93">
        <v>716.999</v>
      </c>
      <c r="F100" s="43"/>
      <c r="G100" s="44">
        <v>0.16</v>
      </c>
      <c r="H100" s="48" t="s">
        <v>167</v>
      </c>
      <c r="I100" s="48"/>
      <c r="J100" s="49"/>
      <c r="K100" s="92"/>
    </row>
    <row r="101" spans="1:11" ht="12.75">
      <c r="A101" s="89">
        <v>10</v>
      </c>
      <c r="B101" s="94" t="s">
        <v>168</v>
      </c>
      <c r="C101" s="90" t="s">
        <v>43</v>
      </c>
      <c r="D101" s="90" t="s">
        <v>29</v>
      </c>
      <c r="E101" s="93">
        <v>488.309</v>
      </c>
      <c r="F101" s="43"/>
      <c r="G101" s="44">
        <v>0.17</v>
      </c>
      <c r="H101" s="48" t="s">
        <v>169</v>
      </c>
      <c r="I101" s="48"/>
      <c r="J101" s="49"/>
      <c r="K101" s="92"/>
    </row>
    <row r="102" spans="1:11" ht="12.75">
      <c r="A102" s="89">
        <v>11</v>
      </c>
      <c r="B102" s="94" t="s">
        <v>170</v>
      </c>
      <c r="C102" s="90" t="s">
        <v>43</v>
      </c>
      <c r="D102" s="90" t="s">
        <v>29</v>
      </c>
      <c r="E102" s="93">
        <v>465.934</v>
      </c>
      <c r="F102" s="43"/>
      <c r="G102" s="44">
        <v>0.14</v>
      </c>
      <c r="H102" s="48" t="s">
        <v>171</v>
      </c>
      <c r="I102" s="48"/>
      <c r="J102" s="49"/>
      <c r="K102" s="92"/>
    </row>
    <row r="103" spans="1:11" ht="25.5">
      <c r="A103" s="89">
        <v>12</v>
      </c>
      <c r="B103" s="94" t="s">
        <v>172</v>
      </c>
      <c r="C103" s="90" t="s">
        <v>43</v>
      </c>
      <c r="D103" s="90" t="s">
        <v>24</v>
      </c>
      <c r="E103" s="93">
        <v>529.621</v>
      </c>
      <c r="F103" s="43">
        <v>50.39</v>
      </c>
      <c r="G103" s="44">
        <v>0.30865</v>
      </c>
      <c r="H103" s="48" t="s">
        <v>56</v>
      </c>
      <c r="I103" s="48"/>
      <c r="J103" s="49"/>
      <c r="K103" s="92"/>
    </row>
    <row r="104" spans="1:11" ht="12.75">
      <c r="A104" s="89">
        <v>13</v>
      </c>
      <c r="B104" s="94" t="s">
        <v>173</v>
      </c>
      <c r="C104" s="90" t="s">
        <v>43</v>
      </c>
      <c r="D104" s="90" t="s">
        <v>29</v>
      </c>
      <c r="E104" s="93">
        <v>215.516</v>
      </c>
      <c r="F104" s="43"/>
      <c r="G104" s="44"/>
      <c r="H104" s="48"/>
      <c r="I104" s="51" t="s">
        <v>45</v>
      </c>
      <c r="J104" s="49"/>
      <c r="K104" s="92"/>
    </row>
    <row r="105" spans="1:11" ht="25.5">
      <c r="A105" s="89">
        <v>14</v>
      </c>
      <c r="B105" s="86" t="s">
        <v>174</v>
      </c>
      <c r="C105" s="51" t="s">
        <v>63</v>
      </c>
      <c r="D105" s="51" t="s">
        <v>151</v>
      </c>
      <c r="E105" s="93">
        <v>311.186</v>
      </c>
      <c r="F105" s="43">
        <v>151.18599999999998</v>
      </c>
      <c r="G105" s="44">
        <v>0.03</v>
      </c>
      <c r="H105" s="48" t="s">
        <v>175</v>
      </c>
      <c r="I105" s="51" t="s">
        <v>45</v>
      </c>
      <c r="J105" s="49"/>
      <c r="K105" s="92"/>
    </row>
    <row r="106" spans="1:11" ht="12.75">
      <c r="A106" s="89">
        <v>15</v>
      </c>
      <c r="B106" s="86" t="s">
        <v>176</v>
      </c>
      <c r="C106" s="90" t="s">
        <v>43</v>
      </c>
      <c r="D106" s="90" t="s">
        <v>29</v>
      </c>
      <c r="E106" s="93">
        <v>624.904</v>
      </c>
      <c r="F106" s="43">
        <v>48.531</v>
      </c>
      <c r="G106" s="44">
        <v>0.107</v>
      </c>
      <c r="H106" s="48" t="s">
        <v>155</v>
      </c>
      <c r="I106" s="48"/>
      <c r="J106" s="49"/>
      <c r="K106" s="92"/>
    </row>
    <row r="107" spans="1:11" ht="25.5">
      <c r="A107" s="89">
        <v>16</v>
      </c>
      <c r="B107" s="86" t="s">
        <v>177</v>
      </c>
      <c r="C107" s="90" t="s">
        <v>43</v>
      </c>
      <c r="D107" s="90" t="s">
        <v>29</v>
      </c>
      <c r="E107" s="93">
        <v>706.369</v>
      </c>
      <c r="F107" s="43">
        <v>32.645</v>
      </c>
      <c r="G107" s="44">
        <v>0.198</v>
      </c>
      <c r="H107" s="48" t="s">
        <v>175</v>
      </c>
      <c r="I107" s="51" t="s">
        <v>45</v>
      </c>
      <c r="J107" s="49"/>
      <c r="K107" s="92"/>
    </row>
    <row r="108" spans="1:11" ht="25.5">
      <c r="A108" s="89">
        <v>17</v>
      </c>
      <c r="B108" s="86" t="s">
        <v>178</v>
      </c>
      <c r="C108" s="51" t="s">
        <v>151</v>
      </c>
      <c r="D108" s="51" t="s">
        <v>152</v>
      </c>
      <c r="E108" s="93">
        <v>867.688</v>
      </c>
      <c r="F108" s="43">
        <v>167.688</v>
      </c>
      <c r="G108" s="44">
        <v>0.028</v>
      </c>
      <c r="H108" s="48" t="s">
        <v>179</v>
      </c>
      <c r="I108" s="51" t="s">
        <v>45</v>
      </c>
      <c r="J108" s="49"/>
      <c r="K108" s="92"/>
    </row>
    <row r="109" spans="1:11" ht="25.5">
      <c r="A109" s="89">
        <v>18</v>
      </c>
      <c r="B109" s="86" t="s">
        <v>145</v>
      </c>
      <c r="C109" s="90" t="s">
        <v>29</v>
      </c>
      <c r="D109" s="90" t="s">
        <v>29</v>
      </c>
      <c r="E109" s="93">
        <v>140.058</v>
      </c>
      <c r="F109" s="43">
        <v>140.058</v>
      </c>
      <c r="G109" s="44"/>
      <c r="H109" s="48"/>
      <c r="I109" s="48"/>
      <c r="J109" s="49"/>
      <c r="K109" s="92"/>
    </row>
    <row r="110" spans="1:11" ht="25.5">
      <c r="A110" s="89">
        <v>19</v>
      </c>
      <c r="B110" s="86" t="s">
        <v>180</v>
      </c>
      <c r="C110" s="51" t="s">
        <v>151</v>
      </c>
      <c r="D110" s="51" t="s">
        <v>152</v>
      </c>
      <c r="E110" s="93">
        <v>679.493</v>
      </c>
      <c r="F110" s="43">
        <v>179.493</v>
      </c>
      <c r="G110" s="44">
        <v>0.125</v>
      </c>
      <c r="H110" s="48" t="s">
        <v>175</v>
      </c>
      <c r="I110" s="51" t="s">
        <v>45</v>
      </c>
      <c r="J110" s="49"/>
      <c r="K110" s="92"/>
    </row>
    <row r="111" spans="1:11" ht="25.5">
      <c r="A111" s="89">
        <v>20</v>
      </c>
      <c r="B111" s="86" t="s">
        <v>181</v>
      </c>
      <c r="C111" s="51" t="s">
        <v>151</v>
      </c>
      <c r="D111" s="51" t="s">
        <v>152</v>
      </c>
      <c r="E111" s="93">
        <v>615.416</v>
      </c>
      <c r="F111" s="43">
        <v>465.41600000000005</v>
      </c>
      <c r="G111" s="44">
        <v>0.07</v>
      </c>
      <c r="H111" s="48" t="s">
        <v>182</v>
      </c>
      <c r="I111" s="48"/>
      <c r="J111" s="49"/>
      <c r="K111" s="92"/>
    </row>
    <row r="112" spans="1:11" ht="25.5">
      <c r="A112" s="89">
        <v>21</v>
      </c>
      <c r="B112" s="86" t="s">
        <v>183</v>
      </c>
      <c r="C112" s="51" t="s">
        <v>60</v>
      </c>
      <c r="D112" s="51" t="s">
        <v>60</v>
      </c>
      <c r="E112" s="93">
        <v>339.33700000000005</v>
      </c>
      <c r="F112" s="43">
        <v>339.33700000000005</v>
      </c>
      <c r="G112" s="44">
        <v>0.14</v>
      </c>
      <c r="H112" s="48" t="s">
        <v>184</v>
      </c>
      <c r="I112" s="48"/>
      <c r="J112" s="49"/>
      <c r="K112" s="92"/>
    </row>
    <row r="113" spans="1:11" ht="12.75">
      <c r="A113" s="89">
        <v>22</v>
      </c>
      <c r="B113" s="94" t="s">
        <v>185</v>
      </c>
      <c r="C113" s="90" t="s">
        <v>43</v>
      </c>
      <c r="D113" s="90" t="s">
        <v>29</v>
      </c>
      <c r="E113" s="93">
        <v>1640.954</v>
      </c>
      <c r="F113" s="43">
        <v>192.479</v>
      </c>
      <c r="G113" s="44">
        <v>5.679</v>
      </c>
      <c r="H113" s="48" t="s">
        <v>92</v>
      </c>
      <c r="I113" s="48"/>
      <c r="J113" s="49"/>
      <c r="K113" s="92"/>
    </row>
    <row r="114" spans="1:11" ht="12.75">
      <c r="A114" s="89">
        <v>23</v>
      </c>
      <c r="B114" s="94" t="s">
        <v>186</v>
      </c>
      <c r="C114" s="51" t="s">
        <v>63</v>
      </c>
      <c r="D114" s="51" t="s">
        <v>151</v>
      </c>
      <c r="E114" s="93">
        <v>1825.457</v>
      </c>
      <c r="F114" s="43">
        <v>5.457</v>
      </c>
      <c r="G114" s="44">
        <v>0.95</v>
      </c>
      <c r="H114" s="48" t="s">
        <v>163</v>
      </c>
      <c r="I114" s="48"/>
      <c r="J114" s="49"/>
      <c r="K114" s="92"/>
    </row>
    <row r="115" spans="1:11" ht="25.5">
      <c r="A115" s="89">
        <v>24</v>
      </c>
      <c r="B115" s="94" t="s">
        <v>187</v>
      </c>
      <c r="C115" s="51" t="s">
        <v>63</v>
      </c>
      <c r="D115" s="51" t="s">
        <v>151</v>
      </c>
      <c r="E115" s="93">
        <v>435.457</v>
      </c>
      <c r="F115" s="43">
        <v>5.457</v>
      </c>
      <c r="G115" s="44">
        <v>0.16</v>
      </c>
      <c r="H115" s="48" t="s">
        <v>188</v>
      </c>
      <c r="I115" s="48"/>
      <c r="J115" s="49"/>
      <c r="K115" s="92"/>
    </row>
    <row r="116" spans="1:11" ht="25.5">
      <c r="A116" s="89">
        <v>25</v>
      </c>
      <c r="B116" s="94" t="s">
        <v>189</v>
      </c>
      <c r="C116" s="51" t="s">
        <v>151</v>
      </c>
      <c r="D116" s="51" t="s">
        <v>152</v>
      </c>
      <c r="E116" s="93">
        <v>966.5</v>
      </c>
      <c r="F116" s="43">
        <v>31.5</v>
      </c>
      <c r="G116" s="44">
        <v>0.389</v>
      </c>
      <c r="H116" s="48" t="s">
        <v>190</v>
      </c>
      <c r="I116" s="51" t="s">
        <v>45</v>
      </c>
      <c r="J116" s="49"/>
      <c r="K116" s="92"/>
    </row>
    <row r="117" spans="1:11" ht="12.75">
      <c r="A117" s="89">
        <v>26</v>
      </c>
      <c r="B117" s="94" t="s">
        <v>191</v>
      </c>
      <c r="C117" s="90" t="s">
        <v>43</v>
      </c>
      <c r="D117" s="90" t="s">
        <v>29</v>
      </c>
      <c r="E117" s="93">
        <v>401.991</v>
      </c>
      <c r="F117" s="43"/>
      <c r="G117" s="44">
        <v>0.241</v>
      </c>
      <c r="H117" s="48" t="s">
        <v>175</v>
      </c>
      <c r="I117" s="48"/>
      <c r="J117" s="49"/>
      <c r="K117" s="92"/>
    </row>
    <row r="118" spans="1:11" ht="12.75">
      <c r="A118" s="89">
        <v>27</v>
      </c>
      <c r="B118" s="94" t="s">
        <v>192</v>
      </c>
      <c r="C118" s="90" t="s">
        <v>43</v>
      </c>
      <c r="D118" s="90" t="s">
        <v>29</v>
      </c>
      <c r="E118" s="93">
        <v>686.377</v>
      </c>
      <c r="F118" s="43"/>
      <c r="G118" s="44">
        <v>0.084</v>
      </c>
      <c r="H118" s="48" t="s">
        <v>193</v>
      </c>
      <c r="I118" s="48"/>
      <c r="J118" s="49"/>
      <c r="K118" s="92"/>
    </row>
    <row r="119" spans="1:11" ht="25.5">
      <c r="A119" s="89">
        <v>28</v>
      </c>
      <c r="B119" s="94" t="s">
        <v>194</v>
      </c>
      <c r="C119" s="51" t="s">
        <v>30</v>
      </c>
      <c r="D119" s="51" t="s">
        <v>151</v>
      </c>
      <c r="E119" s="93">
        <v>1153.666</v>
      </c>
      <c r="F119" s="43">
        <v>212.35600000000002</v>
      </c>
      <c r="G119" s="44">
        <v>0.54</v>
      </c>
      <c r="H119" s="48" t="s">
        <v>161</v>
      </c>
      <c r="I119" s="48"/>
      <c r="J119" s="49"/>
      <c r="K119" s="92"/>
    </row>
    <row r="120" spans="1:11" ht="25.5">
      <c r="A120" s="89">
        <v>29</v>
      </c>
      <c r="B120" s="94" t="s">
        <v>195</v>
      </c>
      <c r="C120" s="51" t="s">
        <v>43</v>
      </c>
      <c r="D120" s="51" t="s">
        <v>33</v>
      </c>
      <c r="E120" s="93">
        <v>481.969</v>
      </c>
      <c r="F120" s="43"/>
      <c r="G120" s="44">
        <v>0.364</v>
      </c>
      <c r="H120" s="48" t="s">
        <v>175</v>
      </c>
      <c r="I120" s="48"/>
      <c r="J120" s="49"/>
      <c r="K120" s="92"/>
    </row>
    <row r="121" spans="1:11" ht="25.5">
      <c r="A121" s="89">
        <v>30</v>
      </c>
      <c r="B121" s="94" t="s">
        <v>196</v>
      </c>
      <c r="C121" s="51" t="s">
        <v>60</v>
      </c>
      <c r="D121" s="51" t="s">
        <v>60</v>
      </c>
      <c r="E121" s="93">
        <v>1431.0630000000003</v>
      </c>
      <c r="F121" s="43">
        <v>1310.1710000000003</v>
      </c>
      <c r="G121" s="44">
        <v>0.786</v>
      </c>
      <c r="H121" s="48" t="s">
        <v>197</v>
      </c>
      <c r="I121" s="51" t="s">
        <v>45</v>
      </c>
      <c r="J121" s="49"/>
      <c r="K121" s="92"/>
    </row>
    <row r="122" spans="1:11" ht="25.5">
      <c r="A122" s="89">
        <v>31</v>
      </c>
      <c r="B122" s="94" t="s">
        <v>198</v>
      </c>
      <c r="C122" s="51" t="s">
        <v>60</v>
      </c>
      <c r="D122" s="51" t="s">
        <v>60</v>
      </c>
      <c r="E122" s="93">
        <v>633.3480000000001</v>
      </c>
      <c r="F122" s="43">
        <v>516.0260000000001</v>
      </c>
      <c r="G122" s="44">
        <v>0.211</v>
      </c>
      <c r="H122" s="48" t="s">
        <v>54</v>
      </c>
      <c r="I122" s="48"/>
      <c r="J122" s="49"/>
      <c r="K122" s="92"/>
    </row>
    <row r="123" spans="1:11" ht="25.5">
      <c r="A123" s="89">
        <v>32</v>
      </c>
      <c r="B123" s="94" t="s">
        <v>199</v>
      </c>
      <c r="C123" s="51" t="s">
        <v>30</v>
      </c>
      <c r="D123" s="51" t="s">
        <v>151</v>
      </c>
      <c r="E123" s="93">
        <v>444.248</v>
      </c>
      <c r="F123" s="43">
        <v>203.248</v>
      </c>
      <c r="G123" s="44">
        <v>0.272</v>
      </c>
      <c r="H123" s="48" t="s">
        <v>54</v>
      </c>
      <c r="I123" s="48"/>
      <c r="J123" s="49"/>
      <c r="K123" s="92"/>
    </row>
    <row r="124" spans="1:11" ht="25.5">
      <c r="A124" s="89">
        <v>33</v>
      </c>
      <c r="B124" s="94" t="s">
        <v>200</v>
      </c>
      <c r="C124" s="51" t="s">
        <v>60</v>
      </c>
      <c r="D124" s="51" t="s">
        <v>60</v>
      </c>
      <c r="E124" s="93">
        <v>355.8279999999999</v>
      </c>
      <c r="F124" s="43">
        <v>343.81299999999993</v>
      </c>
      <c r="G124" s="44">
        <v>0.123</v>
      </c>
      <c r="H124" s="48" t="s">
        <v>201</v>
      </c>
      <c r="I124" s="48"/>
      <c r="J124" s="49"/>
      <c r="K124" s="92"/>
    </row>
    <row r="125" spans="1:11" ht="12.75">
      <c r="A125" s="89">
        <v>34</v>
      </c>
      <c r="B125" s="94" t="s">
        <v>202</v>
      </c>
      <c r="C125" s="51" t="s">
        <v>60</v>
      </c>
      <c r="D125" s="51" t="s">
        <v>60</v>
      </c>
      <c r="E125" s="93">
        <v>640.8739999999999</v>
      </c>
      <c r="F125" s="43">
        <v>628.8589999999999</v>
      </c>
      <c r="G125" s="44">
        <v>0.274</v>
      </c>
      <c r="H125" s="48" t="s">
        <v>203</v>
      </c>
      <c r="I125" s="51" t="s">
        <v>45</v>
      </c>
      <c r="J125" s="49"/>
      <c r="K125" s="92"/>
    </row>
    <row r="126" spans="1:11" ht="25.5">
      <c r="A126" s="89">
        <v>35</v>
      </c>
      <c r="B126" s="94" t="s">
        <v>204</v>
      </c>
      <c r="C126" s="51" t="s">
        <v>60</v>
      </c>
      <c r="D126" s="51" t="s">
        <v>60</v>
      </c>
      <c r="E126" s="93">
        <v>280.18</v>
      </c>
      <c r="F126" s="43">
        <v>268.165</v>
      </c>
      <c r="G126" s="44">
        <v>0.121</v>
      </c>
      <c r="H126" s="48" t="s">
        <v>205</v>
      </c>
      <c r="I126" s="48"/>
      <c r="J126" s="49"/>
      <c r="K126" s="92"/>
    </row>
    <row r="127" spans="1:11" ht="25.5">
      <c r="A127" s="89">
        <v>36</v>
      </c>
      <c r="B127" s="94" t="s">
        <v>206</v>
      </c>
      <c r="C127" s="51" t="s">
        <v>151</v>
      </c>
      <c r="D127" s="51" t="s">
        <v>152</v>
      </c>
      <c r="E127" s="93">
        <v>855.848</v>
      </c>
      <c r="F127" s="43">
        <v>47.848</v>
      </c>
      <c r="G127" s="44">
        <v>0.441</v>
      </c>
      <c r="H127" s="48" t="s">
        <v>207</v>
      </c>
      <c r="I127" s="48"/>
      <c r="J127" s="49"/>
      <c r="K127" s="92"/>
    </row>
    <row r="128" spans="1:11" ht="25.5">
      <c r="A128" s="89">
        <v>37</v>
      </c>
      <c r="B128" s="94" t="s">
        <v>208</v>
      </c>
      <c r="C128" s="51" t="s">
        <v>151</v>
      </c>
      <c r="D128" s="51" t="s">
        <v>152</v>
      </c>
      <c r="E128" s="93">
        <v>636.348</v>
      </c>
      <c r="F128" s="43">
        <v>16.348</v>
      </c>
      <c r="G128" s="44">
        <v>0.87</v>
      </c>
      <c r="H128" s="48" t="s">
        <v>209</v>
      </c>
      <c r="I128" s="48" t="s">
        <v>210</v>
      </c>
      <c r="J128" s="49"/>
      <c r="K128" s="92"/>
    </row>
    <row r="129" spans="1:11" ht="12.75">
      <c r="A129" s="89">
        <v>38</v>
      </c>
      <c r="B129" s="94" t="s">
        <v>211</v>
      </c>
      <c r="C129" s="90" t="s">
        <v>43</v>
      </c>
      <c r="D129" s="90" t="s">
        <v>29</v>
      </c>
      <c r="E129" s="93">
        <v>808.931</v>
      </c>
      <c r="F129" s="43">
        <v>69.231</v>
      </c>
      <c r="G129" s="44">
        <v>0.604</v>
      </c>
      <c r="H129" s="48" t="s">
        <v>212</v>
      </c>
      <c r="I129" s="48"/>
      <c r="J129" s="49"/>
      <c r="K129" s="92"/>
    </row>
    <row r="130" spans="1:11" ht="12.75">
      <c r="A130" s="89">
        <v>39</v>
      </c>
      <c r="B130" s="94" t="s">
        <v>213</v>
      </c>
      <c r="C130" s="90" t="s">
        <v>43</v>
      </c>
      <c r="D130" s="90" t="s">
        <v>29</v>
      </c>
      <c r="E130" s="93">
        <v>628.949</v>
      </c>
      <c r="F130" s="43"/>
      <c r="G130" s="44">
        <v>0.055</v>
      </c>
      <c r="H130" s="48" t="s">
        <v>214</v>
      </c>
      <c r="I130" s="48"/>
      <c r="J130" s="49"/>
      <c r="K130" s="92"/>
    </row>
    <row r="131" spans="1:11" ht="12.75">
      <c r="A131" s="89">
        <v>40</v>
      </c>
      <c r="B131" s="94" t="s">
        <v>215</v>
      </c>
      <c r="C131" s="51" t="s">
        <v>151</v>
      </c>
      <c r="D131" s="51" t="s">
        <v>152</v>
      </c>
      <c r="E131" s="93">
        <v>375.462</v>
      </c>
      <c r="F131" s="43">
        <v>41.462</v>
      </c>
      <c r="G131" s="44">
        <v>0.111</v>
      </c>
      <c r="H131" s="48" t="s">
        <v>216</v>
      </c>
      <c r="I131" s="48"/>
      <c r="J131" s="49"/>
      <c r="K131" s="92"/>
    </row>
    <row r="132" spans="1:11" ht="12.75">
      <c r="A132" s="89">
        <v>41</v>
      </c>
      <c r="B132" s="94" t="s">
        <v>217</v>
      </c>
      <c r="C132" s="51" t="s">
        <v>151</v>
      </c>
      <c r="D132" s="51" t="s">
        <v>152</v>
      </c>
      <c r="E132" s="93">
        <v>269.729</v>
      </c>
      <c r="F132" s="43">
        <v>169.72899999999998</v>
      </c>
      <c r="G132" s="44">
        <v>0.095</v>
      </c>
      <c r="H132" s="48" t="s">
        <v>218</v>
      </c>
      <c r="I132" s="48"/>
      <c r="J132" s="49"/>
      <c r="K132" s="92"/>
    </row>
    <row r="133" spans="1:11" ht="25.5">
      <c r="A133" s="89">
        <v>42</v>
      </c>
      <c r="B133" s="86" t="s">
        <v>219</v>
      </c>
      <c r="C133" s="51" t="s">
        <v>29</v>
      </c>
      <c r="D133" s="51" t="s">
        <v>30</v>
      </c>
      <c r="E133" s="93">
        <v>384.922</v>
      </c>
      <c r="F133" s="43">
        <v>289.411</v>
      </c>
      <c r="G133" s="44">
        <v>0.255</v>
      </c>
      <c r="H133" s="48" t="s">
        <v>37</v>
      </c>
      <c r="I133" s="48"/>
      <c r="J133" s="49"/>
      <c r="K133" s="92"/>
    </row>
    <row r="134" spans="1:11" ht="25.5">
      <c r="A134" s="89">
        <v>43</v>
      </c>
      <c r="B134" s="94" t="s">
        <v>220</v>
      </c>
      <c r="C134" s="51" t="s">
        <v>29</v>
      </c>
      <c r="D134" s="51" t="s">
        <v>30</v>
      </c>
      <c r="E134" s="93">
        <v>316.079</v>
      </c>
      <c r="F134" s="43">
        <v>228.671</v>
      </c>
      <c r="G134" s="44">
        <v>0.161</v>
      </c>
      <c r="H134" s="48" t="s">
        <v>48</v>
      </c>
      <c r="I134" s="48"/>
      <c r="J134" s="49"/>
      <c r="K134" s="92"/>
    </row>
    <row r="135" spans="1:11" ht="25.5">
      <c r="A135" s="89">
        <v>44</v>
      </c>
      <c r="B135" s="94" t="s">
        <v>221</v>
      </c>
      <c r="C135" s="90" t="s">
        <v>43</v>
      </c>
      <c r="D135" s="90" t="s">
        <v>33</v>
      </c>
      <c r="E135" s="93">
        <v>1422.923</v>
      </c>
      <c r="F135" s="43">
        <v>213.734</v>
      </c>
      <c r="G135" s="44">
        <v>3.562</v>
      </c>
      <c r="H135" s="48" t="s">
        <v>37</v>
      </c>
      <c r="I135" s="48"/>
      <c r="J135" s="49"/>
      <c r="K135" s="92"/>
    </row>
    <row r="136" spans="1:11" ht="25.5">
      <c r="A136" s="89">
        <v>45</v>
      </c>
      <c r="B136" s="94" t="s">
        <v>222</v>
      </c>
      <c r="C136" s="90" t="s">
        <v>43</v>
      </c>
      <c r="D136" s="90" t="s">
        <v>29</v>
      </c>
      <c r="E136" s="93">
        <v>569.955</v>
      </c>
      <c r="F136" s="43">
        <v>22.255</v>
      </c>
      <c r="G136" s="44">
        <v>0.285</v>
      </c>
      <c r="H136" s="48" t="s">
        <v>155</v>
      </c>
      <c r="I136" s="48"/>
      <c r="J136" s="49"/>
      <c r="K136" s="92"/>
    </row>
    <row r="137" spans="1:11" ht="25.5">
      <c r="A137" s="89">
        <v>46</v>
      </c>
      <c r="B137" s="94" t="s">
        <v>223</v>
      </c>
      <c r="C137" s="51" t="s">
        <v>63</v>
      </c>
      <c r="D137" s="51" t="s">
        <v>151</v>
      </c>
      <c r="E137" s="93">
        <v>548.83</v>
      </c>
      <c r="F137" s="43">
        <v>248.83</v>
      </c>
      <c r="G137" s="44">
        <v>0.28</v>
      </c>
      <c r="H137" s="48" t="s">
        <v>64</v>
      </c>
      <c r="I137" s="48"/>
      <c r="J137" s="49"/>
      <c r="K137" s="92"/>
    </row>
    <row r="138" spans="1:11" ht="25.5">
      <c r="A138" s="89">
        <v>47</v>
      </c>
      <c r="B138" s="94" t="s">
        <v>224</v>
      </c>
      <c r="C138" s="90" t="s">
        <v>43</v>
      </c>
      <c r="D138" s="90" t="s">
        <v>24</v>
      </c>
      <c r="E138" s="93">
        <v>212.617</v>
      </c>
      <c r="F138" s="43">
        <v>23.19</v>
      </c>
      <c r="G138" s="44">
        <v>0.077</v>
      </c>
      <c r="H138" s="48" t="s">
        <v>54</v>
      </c>
      <c r="I138" s="48"/>
      <c r="J138" s="49"/>
      <c r="K138" s="92"/>
    </row>
    <row r="139" spans="1:11" ht="25.5">
      <c r="A139" s="89">
        <v>48</v>
      </c>
      <c r="B139" s="94" t="s">
        <v>225</v>
      </c>
      <c r="C139" s="51" t="s">
        <v>60</v>
      </c>
      <c r="D139" s="51" t="s">
        <v>60</v>
      </c>
      <c r="E139" s="93">
        <v>849.3619999999999</v>
      </c>
      <c r="F139" s="43">
        <v>849.3619999999999</v>
      </c>
      <c r="G139" s="44">
        <v>0.259</v>
      </c>
      <c r="H139" s="48" t="s">
        <v>175</v>
      </c>
      <c r="I139" s="48" t="s">
        <v>226</v>
      </c>
      <c r="J139" s="49"/>
      <c r="K139" s="92"/>
    </row>
    <row r="140" spans="1:11" ht="25.5">
      <c r="A140" s="89">
        <v>49</v>
      </c>
      <c r="B140" s="94" t="s">
        <v>227</v>
      </c>
      <c r="C140" s="51" t="s">
        <v>60</v>
      </c>
      <c r="D140" s="51" t="s">
        <v>60</v>
      </c>
      <c r="E140" s="93">
        <v>498.251</v>
      </c>
      <c r="F140" s="43">
        <v>414.61699999999996</v>
      </c>
      <c r="G140" s="44">
        <v>0.125</v>
      </c>
      <c r="H140" s="48" t="s">
        <v>179</v>
      </c>
      <c r="I140" s="48"/>
      <c r="J140" s="49"/>
      <c r="K140" s="92"/>
    </row>
    <row r="141" spans="1:11" ht="25.5">
      <c r="A141" s="89">
        <v>50</v>
      </c>
      <c r="B141" s="94" t="s">
        <v>228</v>
      </c>
      <c r="C141" s="51" t="s">
        <v>60</v>
      </c>
      <c r="D141" s="51" t="s">
        <v>60</v>
      </c>
      <c r="E141" s="93">
        <v>558.2379999999999</v>
      </c>
      <c r="F141" s="43">
        <v>474.604</v>
      </c>
      <c r="G141" s="44">
        <v>0.165</v>
      </c>
      <c r="H141" s="48" t="s">
        <v>175</v>
      </c>
      <c r="I141" s="48"/>
      <c r="J141" s="49"/>
      <c r="K141" s="92"/>
    </row>
    <row r="142" spans="1:11" ht="25.5">
      <c r="A142" s="89">
        <v>51</v>
      </c>
      <c r="B142" s="94" t="s">
        <v>229</v>
      </c>
      <c r="C142" s="51" t="s">
        <v>151</v>
      </c>
      <c r="D142" s="51" t="s">
        <v>152</v>
      </c>
      <c r="E142" s="93">
        <v>1042.871</v>
      </c>
      <c r="F142" s="43">
        <v>312.00100000000003</v>
      </c>
      <c r="G142" s="44">
        <v>0.286</v>
      </c>
      <c r="H142" s="48" t="s">
        <v>230</v>
      </c>
      <c r="I142" s="48" t="s">
        <v>226</v>
      </c>
      <c r="J142" s="49"/>
      <c r="K142" s="92"/>
    </row>
    <row r="143" spans="1:11" ht="25.5">
      <c r="A143" s="89">
        <v>52</v>
      </c>
      <c r="B143" s="94" t="s">
        <v>231</v>
      </c>
      <c r="C143" s="51" t="s">
        <v>29</v>
      </c>
      <c r="D143" s="51" t="s">
        <v>29</v>
      </c>
      <c r="E143" s="93">
        <v>129.974</v>
      </c>
      <c r="F143" s="43">
        <v>53.419</v>
      </c>
      <c r="G143" s="44">
        <v>0.061</v>
      </c>
      <c r="H143" s="48" t="s">
        <v>232</v>
      </c>
      <c r="I143" s="48"/>
      <c r="J143" s="49"/>
      <c r="K143" s="92"/>
    </row>
    <row r="144" spans="1:11" ht="25.5">
      <c r="A144" s="89">
        <v>53</v>
      </c>
      <c r="B144" s="94" t="s">
        <v>233</v>
      </c>
      <c r="C144" s="51" t="s">
        <v>29</v>
      </c>
      <c r="D144" s="51" t="s">
        <v>29</v>
      </c>
      <c r="E144" s="93">
        <v>252.96</v>
      </c>
      <c r="F144" s="43">
        <v>140.607</v>
      </c>
      <c r="G144" s="44">
        <v>0.2</v>
      </c>
      <c r="H144" s="48" t="s">
        <v>234</v>
      </c>
      <c r="I144" s="48"/>
      <c r="J144" s="49"/>
      <c r="K144" s="92"/>
    </row>
    <row r="145" spans="1:11" ht="12.75">
      <c r="A145" s="89">
        <v>54</v>
      </c>
      <c r="B145" s="94" t="s">
        <v>235</v>
      </c>
      <c r="C145" s="51" t="s">
        <v>60</v>
      </c>
      <c r="D145" s="51" t="s">
        <v>60</v>
      </c>
      <c r="E145" s="93">
        <v>342.48100000000005</v>
      </c>
      <c r="F145" s="43">
        <v>327.08200000000005</v>
      </c>
      <c r="G145" s="44">
        <v>0.094</v>
      </c>
      <c r="H145" s="48" t="s">
        <v>61</v>
      </c>
      <c r="I145" s="48"/>
      <c r="J145" s="49"/>
      <c r="K145" s="92"/>
    </row>
    <row r="146" spans="1:11" ht="12.75">
      <c r="A146" s="89">
        <v>55</v>
      </c>
      <c r="B146" s="94" t="s">
        <v>236</v>
      </c>
      <c r="C146" s="51" t="s">
        <v>29</v>
      </c>
      <c r="D146" s="51" t="s">
        <v>29</v>
      </c>
      <c r="E146" s="93">
        <v>285.427</v>
      </c>
      <c r="F146" s="43">
        <v>159.588</v>
      </c>
      <c r="G146" s="44">
        <v>0.237</v>
      </c>
      <c r="H146" s="48" t="s">
        <v>37</v>
      </c>
      <c r="I146" s="48"/>
      <c r="J146" s="49"/>
      <c r="K146" s="92"/>
    </row>
    <row r="147" spans="1:11" ht="25.5">
      <c r="A147" s="89">
        <v>56</v>
      </c>
      <c r="B147" s="94" t="s">
        <v>237</v>
      </c>
      <c r="C147" s="51" t="s">
        <v>29</v>
      </c>
      <c r="D147" s="51" t="s">
        <v>29</v>
      </c>
      <c r="E147" s="93">
        <v>394.78</v>
      </c>
      <c r="F147" s="43">
        <v>44.78</v>
      </c>
      <c r="G147" s="44">
        <v>0.12</v>
      </c>
      <c r="H147" s="48" t="s">
        <v>51</v>
      </c>
      <c r="I147" s="48"/>
      <c r="J147" s="49"/>
      <c r="K147" s="92"/>
    </row>
    <row r="148" spans="1:11" ht="25.5">
      <c r="A148" s="89">
        <v>57</v>
      </c>
      <c r="B148" s="94" t="s">
        <v>238</v>
      </c>
      <c r="C148" s="51" t="s">
        <v>60</v>
      </c>
      <c r="D148" s="51" t="s">
        <v>239</v>
      </c>
      <c r="E148" s="93">
        <v>1356.644</v>
      </c>
      <c r="F148" s="43">
        <v>916.644</v>
      </c>
      <c r="G148" s="44">
        <v>0.534</v>
      </c>
      <c r="H148" s="48" t="s">
        <v>34</v>
      </c>
      <c r="I148" s="48" t="s">
        <v>226</v>
      </c>
      <c r="J148" s="49"/>
      <c r="K148" s="92"/>
    </row>
    <row r="149" spans="1:11" ht="25.5">
      <c r="A149" s="89">
        <v>58</v>
      </c>
      <c r="B149" s="94" t="s">
        <v>240</v>
      </c>
      <c r="C149" s="90" t="s">
        <v>43</v>
      </c>
      <c r="D149" s="90" t="s">
        <v>29</v>
      </c>
      <c r="E149" s="93">
        <v>1278.402</v>
      </c>
      <c r="F149" s="43">
        <v>57.288</v>
      </c>
      <c r="G149" s="44">
        <v>0.789</v>
      </c>
      <c r="H149" s="48" t="s">
        <v>155</v>
      </c>
      <c r="I149" s="48"/>
      <c r="J149" s="49"/>
      <c r="K149" s="92"/>
    </row>
    <row r="150" spans="1:11" ht="38.25">
      <c r="A150" s="89">
        <v>59</v>
      </c>
      <c r="B150" s="94" t="s">
        <v>241</v>
      </c>
      <c r="C150" s="51" t="s">
        <v>151</v>
      </c>
      <c r="D150" s="51" t="s">
        <v>152</v>
      </c>
      <c r="E150" s="93">
        <v>834.218</v>
      </c>
      <c r="F150" s="43">
        <v>44.218</v>
      </c>
      <c r="G150" s="44">
        <v>0.055</v>
      </c>
      <c r="H150" s="48" t="s">
        <v>179</v>
      </c>
      <c r="I150" s="48" t="s">
        <v>45</v>
      </c>
      <c r="J150" s="49"/>
      <c r="K150" s="92"/>
    </row>
    <row r="151" spans="1:11" ht="12.75">
      <c r="A151" s="89">
        <v>60</v>
      </c>
      <c r="B151" s="94" t="s">
        <v>242</v>
      </c>
      <c r="C151" s="51" t="s">
        <v>151</v>
      </c>
      <c r="D151" s="51" t="s">
        <v>152</v>
      </c>
      <c r="E151" s="93">
        <v>1532.558</v>
      </c>
      <c r="F151" s="43">
        <v>48.948</v>
      </c>
      <c r="G151" s="44">
        <v>0.82</v>
      </c>
      <c r="H151" s="48" t="s">
        <v>243</v>
      </c>
      <c r="I151" s="48" t="s">
        <v>45</v>
      </c>
      <c r="J151" s="49"/>
      <c r="K151" s="92"/>
    </row>
    <row r="152" spans="1:11" ht="25.5">
      <c r="A152" s="89">
        <v>61</v>
      </c>
      <c r="B152" s="94" t="s">
        <v>244</v>
      </c>
      <c r="C152" s="51" t="s">
        <v>60</v>
      </c>
      <c r="D152" s="51" t="s">
        <v>60</v>
      </c>
      <c r="E152" s="93">
        <v>870.4780000000001</v>
      </c>
      <c r="F152" s="43">
        <v>862.254</v>
      </c>
      <c r="G152" s="44">
        <v>0.381</v>
      </c>
      <c r="H152" s="48" t="s">
        <v>179</v>
      </c>
      <c r="I152" s="48" t="s">
        <v>45</v>
      </c>
      <c r="J152" s="49"/>
      <c r="K152" s="92"/>
    </row>
    <row r="153" spans="1:11" ht="12.75">
      <c r="A153" s="89">
        <v>62</v>
      </c>
      <c r="B153" s="94" t="s">
        <v>245</v>
      </c>
      <c r="C153" s="90" t="s">
        <v>43</v>
      </c>
      <c r="D153" s="90" t="s">
        <v>24</v>
      </c>
      <c r="E153" s="93">
        <v>627.909</v>
      </c>
      <c r="F153" s="43">
        <v>35.11</v>
      </c>
      <c r="G153" s="44">
        <v>0.048</v>
      </c>
      <c r="H153" s="48" t="s">
        <v>54</v>
      </c>
      <c r="I153" s="48" t="s">
        <v>45</v>
      </c>
      <c r="J153" s="49"/>
      <c r="K153" s="92"/>
    </row>
    <row r="154" spans="1:11" ht="25.5">
      <c r="A154" s="89">
        <v>63</v>
      </c>
      <c r="B154" s="94" t="s">
        <v>246</v>
      </c>
      <c r="C154" s="90" t="s">
        <v>43</v>
      </c>
      <c r="D154" s="90" t="s">
        <v>29</v>
      </c>
      <c r="E154" s="93">
        <v>238.21354000000002</v>
      </c>
      <c r="F154" s="43"/>
      <c r="G154" s="44">
        <v>0.075</v>
      </c>
      <c r="H154" s="48" t="s">
        <v>205</v>
      </c>
      <c r="I154" s="48"/>
      <c r="J154" s="49"/>
      <c r="K154" s="92"/>
    </row>
    <row r="155" spans="1:11" ht="25.5">
      <c r="A155" s="89">
        <v>64</v>
      </c>
      <c r="B155" s="94" t="s">
        <v>247</v>
      </c>
      <c r="C155" s="51" t="s">
        <v>60</v>
      </c>
      <c r="D155" s="51" t="s">
        <v>60</v>
      </c>
      <c r="E155" s="93">
        <v>2184.421</v>
      </c>
      <c r="F155" s="43">
        <v>2184.421</v>
      </c>
      <c r="G155" s="44">
        <v>2.548</v>
      </c>
      <c r="H155" s="48" t="s">
        <v>61</v>
      </c>
      <c r="I155" s="48" t="s">
        <v>45</v>
      </c>
      <c r="J155" s="49"/>
      <c r="K155" s="92"/>
    </row>
    <row r="156" spans="1:11" ht="25.5">
      <c r="A156" s="89">
        <v>65</v>
      </c>
      <c r="B156" s="94" t="s">
        <v>248</v>
      </c>
      <c r="C156" s="51" t="s">
        <v>29</v>
      </c>
      <c r="D156" s="51" t="s">
        <v>30</v>
      </c>
      <c r="E156" s="93">
        <v>1452.058</v>
      </c>
      <c r="F156" s="43">
        <v>1194.453</v>
      </c>
      <c r="G156" s="44">
        <v>2.164</v>
      </c>
      <c r="H156" s="48" t="s">
        <v>37</v>
      </c>
      <c r="I156" s="48"/>
      <c r="J156" s="49"/>
      <c r="K156" s="92"/>
    </row>
    <row r="157" spans="1:11" ht="12.75">
      <c r="A157" s="89"/>
      <c r="B157" s="95" t="s">
        <v>249</v>
      </c>
      <c r="C157" s="51"/>
      <c r="D157" s="51"/>
      <c r="E157" s="93"/>
      <c r="F157" s="43"/>
      <c r="G157" s="44"/>
      <c r="H157" s="48"/>
      <c r="I157" s="48"/>
      <c r="J157" s="49"/>
      <c r="K157" s="92"/>
    </row>
    <row r="158" spans="1:11" ht="12.75">
      <c r="A158" s="89">
        <v>66</v>
      </c>
      <c r="B158" s="86" t="s">
        <v>250</v>
      </c>
      <c r="C158" s="51" t="s">
        <v>63</v>
      </c>
      <c r="D158" s="51" t="s">
        <v>152</v>
      </c>
      <c r="E158" s="93">
        <v>523.274</v>
      </c>
      <c r="F158" s="43">
        <v>73.274</v>
      </c>
      <c r="G158" s="44"/>
      <c r="H158" s="48"/>
      <c r="I158" s="48" t="s">
        <v>251</v>
      </c>
      <c r="J158" s="49"/>
      <c r="K158" s="92"/>
    </row>
    <row r="159" spans="1:11" ht="12.75">
      <c r="A159" s="89">
        <v>67</v>
      </c>
      <c r="B159" s="86" t="s">
        <v>252</v>
      </c>
      <c r="C159" s="51" t="s">
        <v>63</v>
      </c>
      <c r="D159" s="51" t="s">
        <v>152</v>
      </c>
      <c r="E159" s="93">
        <v>529.418</v>
      </c>
      <c r="F159" s="43">
        <v>79.415</v>
      </c>
      <c r="G159" s="44"/>
      <c r="H159" s="48"/>
      <c r="I159" s="48" t="s">
        <v>251</v>
      </c>
      <c r="J159" s="49"/>
      <c r="K159" s="92"/>
    </row>
    <row r="160" spans="1:11" ht="12.75">
      <c r="A160" s="89">
        <v>68</v>
      </c>
      <c r="B160" s="86" t="s">
        <v>253</v>
      </c>
      <c r="C160" s="51" t="s">
        <v>63</v>
      </c>
      <c r="D160" s="51" t="s">
        <v>152</v>
      </c>
      <c r="E160" s="93">
        <v>506.023</v>
      </c>
      <c r="F160" s="43">
        <v>56.023</v>
      </c>
      <c r="G160" s="44"/>
      <c r="H160" s="48"/>
      <c r="I160" s="48" t="s">
        <v>251</v>
      </c>
      <c r="J160" s="49"/>
      <c r="K160" s="92"/>
    </row>
    <row r="161" spans="1:11" ht="12.75">
      <c r="A161" s="89">
        <v>69</v>
      </c>
      <c r="B161" s="86" t="s">
        <v>254</v>
      </c>
      <c r="C161" s="90" t="s">
        <v>33</v>
      </c>
      <c r="D161" s="90" t="s">
        <v>60</v>
      </c>
      <c r="E161" s="93">
        <v>1310.972</v>
      </c>
      <c r="F161" s="43">
        <v>1004.5740000000001</v>
      </c>
      <c r="G161" s="44"/>
      <c r="H161" s="48"/>
      <c r="I161" s="48" t="s">
        <v>251</v>
      </c>
      <c r="J161" s="49"/>
      <c r="K161" s="92"/>
    </row>
    <row r="162" spans="1:11" ht="12.75">
      <c r="A162" s="89">
        <v>70</v>
      </c>
      <c r="B162" s="86" t="s">
        <v>255</v>
      </c>
      <c r="C162" s="90" t="s">
        <v>33</v>
      </c>
      <c r="D162" s="90" t="s">
        <v>60</v>
      </c>
      <c r="E162" s="93">
        <v>976.668</v>
      </c>
      <c r="F162" s="43">
        <v>670.739</v>
      </c>
      <c r="G162" s="44"/>
      <c r="H162" s="48"/>
      <c r="I162" s="48" t="s">
        <v>251</v>
      </c>
      <c r="J162" s="49"/>
      <c r="K162" s="92"/>
    </row>
    <row r="163" spans="1:11" ht="12.75">
      <c r="A163" s="89">
        <v>71</v>
      </c>
      <c r="B163" s="86" t="s">
        <v>256</v>
      </c>
      <c r="C163" s="51" t="s">
        <v>63</v>
      </c>
      <c r="D163" s="51" t="s">
        <v>151</v>
      </c>
      <c r="E163" s="93">
        <v>1350.385</v>
      </c>
      <c r="F163" s="43">
        <v>85.453</v>
      </c>
      <c r="G163" s="44"/>
      <c r="H163" s="48"/>
      <c r="I163" s="48" t="s">
        <v>251</v>
      </c>
      <c r="J163" s="49"/>
      <c r="K163" s="92"/>
    </row>
    <row r="164" spans="1:11" ht="12.75">
      <c r="A164" s="89">
        <v>72</v>
      </c>
      <c r="B164" s="86" t="s">
        <v>257</v>
      </c>
      <c r="C164" s="51" t="s">
        <v>33</v>
      </c>
      <c r="D164" s="51" t="s">
        <v>152</v>
      </c>
      <c r="E164" s="93">
        <v>1050.296</v>
      </c>
      <c r="F164" s="43">
        <v>188.754</v>
      </c>
      <c r="G164" s="44"/>
      <c r="H164" s="48"/>
      <c r="I164" s="48" t="s">
        <v>251</v>
      </c>
      <c r="J164" s="49"/>
      <c r="K164" s="92"/>
    </row>
    <row r="165" spans="1:11" ht="12.75">
      <c r="A165" s="89">
        <v>73</v>
      </c>
      <c r="B165" s="86" t="s">
        <v>258</v>
      </c>
      <c r="C165" s="51" t="s">
        <v>29</v>
      </c>
      <c r="D165" s="51" t="s">
        <v>60</v>
      </c>
      <c r="E165" s="93">
        <v>1229.9180000000001</v>
      </c>
      <c r="F165" s="43">
        <v>1091.239</v>
      </c>
      <c r="G165" s="44"/>
      <c r="H165" s="48"/>
      <c r="I165" s="48" t="s">
        <v>251</v>
      </c>
      <c r="J165" s="49"/>
      <c r="K165" s="92"/>
    </row>
    <row r="166" spans="1:11" ht="12.75">
      <c r="A166" s="89">
        <v>74</v>
      </c>
      <c r="B166" s="86" t="s">
        <v>259</v>
      </c>
      <c r="C166" s="51" t="s">
        <v>33</v>
      </c>
      <c r="D166" s="51" t="s">
        <v>152</v>
      </c>
      <c r="E166" s="93">
        <v>1344.922</v>
      </c>
      <c r="F166" s="43">
        <v>231.302</v>
      </c>
      <c r="G166" s="44"/>
      <c r="H166" s="48"/>
      <c r="I166" s="48" t="s">
        <v>251</v>
      </c>
      <c r="J166" s="49"/>
      <c r="K166" s="92"/>
    </row>
    <row r="167" spans="1:11" ht="51" customHeight="1">
      <c r="A167" s="89">
        <v>75</v>
      </c>
      <c r="B167" s="96" t="s">
        <v>260</v>
      </c>
      <c r="C167" s="90" t="s">
        <v>68</v>
      </c>
      <c r="D167" s="90" t="s">
        <v>29</v>
      </c>
      <c r="E167" s="93">
        <v>784.028</v>
      </c>
      <c r="F167" s="43">
        <v>59.462</v>
      </c>
      <c r="G167" s="44">
        <v>0.473</v>
      </c>
      <c r="H167" s="48" t="s">
        <v>51</v>
      </c>
      <c r="I167" s="97"/>
      <c r="J167" s="76"/>
      <c r="K167" s="92"/>
    </row>
    <row r="168" spans="1:11" ht="27" customHeight="1">
      <c r="A168" s="89"/>
      <c r="B168" s="98" t="s">
        <v>261</v>
      </c>
      <c r="C168" s="70"/>
      <c r="D168" s="70"/>
      <c r="E168" s="74"/>
      <c r="F168" s="74"/>
      <c r="G168" s="97"/>
      <c r="H168" s="97"/>
      <c r="I168" s="97"/>
      <c r="J168" s="76"/>
      <c r="K168" s="92"/>
    </row>
    <row r="169" spans="1:11" ht="12.75">
      <c r="A169" s="89">
        <v>76</v>
      </c>
      <c r="B169" s="94" t="s">
        <v>262</v>
      </c>
      <c r="C169" s="51" t="s">
        <v>60</v>
      </c>
      <c r="D169" s="51" t="s">
        <v>60</v>
      </c>
      <c r="E169" s="93">
        <v>106.982</v>
      </c>
      <c r="F169" s="43">
        <v>98.106</v>
      </c>
      <c r="G169" s="97"/>
      <c r="H169" s="97"/>
      <c r="I169" s="97"/>
      <c r="J169" s="76"/>
      <c r="K169" s="92"/>
    </row>
    <row r="170" spans="1:11" ht="12.75">
      <c r="A170" s="89">
        <v>77</v>
      </c>
      <c r="B170" s="94" t="s">
        <v>263</v>
      </c>
      <c r="C170" s="51" t="s">
        <v>60</v>
      </c>
      <c r="D170" s="51" t="s">
        <v>60</v>
      </c>
      <c r="E170" s="93">
        <v>62.881</v>
      </c>
      <c r="F170" s="43">
        <v>54.005</v>
      </c>
      <c r="G170" s="97"/>
      <c r="H170" s="97"/>
      <c r="I170" s="97"/>
      <c r="J170" s="76"/>
      <c r="K170" s="92"/>
    </row>
    <row r="171" spans="1:11" ht="12.75">
      <c r="A171" s="89">
        <v>78</v>
      </c>
      <c r="B171" s="94" t="s">
        <v>264</v>
      </c>
      <c r="C171" s="51" t="s">
        <v>60</v>
      </c>
      <c r="D171" s="51" t="s">
        <v>60</v>
      </c>
      <c r="E171" s="93">
        <v>1314.806</v>
      </c>
      <c r="F171" s="43">
        <v>1305.93</v>
      </c>
      <c r="G171" s="97"/>
      <c r="H171" s="97"/>
      <c r="I171" s="97"/>
      <c r="J171" s="76"/>
      <c r="K171" s="92"/>
    </row>
    <row r="172" spans="1:11" ht="12.75">
      <c r="A172" s="89">
        <v>79</v>
      </c>
      <c r="B172" s="94" t="s">
        <v>265</v>
      </c>
      <c r="C172" s="51" t="s">
        <v>60</v>
      </c>
      <c r="D172" s="51" t="s">
        <v>60</v>
      </c>
      <c r="E172" s="93">
        <v>99.01</v>
      </c>
      <c r="F172" s="43">
        <v>90.134</v>
      </c>
      <c r="G172" s="97"/>
      <c r="H172" s="97"/>
      <c r="I172" s="97"/>
      <c r="J172" s="76"/>
      <c r="K172" s="92"/>
    </row>
    <row r="173" spans="1:11" ht="12.75">
      <c r="A173" s="89">
        <v>80</v>
      </c>
      <c r="B173" s="94" t="s">
        <v>266</v>
      </c>
      <c r="C173" s="51" t="s">
        <v>33</v>
      </c>
      <c r="D173" s="51" t="s">
        <v>33</v>
      </c>
      <c r="E173" s="93">
        <v>64.151</v>
      </c>
      <c r="F173" s="43">
        <v>55.275</v>
      </c>
      <c r="G173" s="97"/>
      <c r="H173" s="97"/>
      <c r="I173" s="97"/>
      <c r="J173" s="76"/>
      <c r="K173" s="92"/>
    </row>
    <row r="174" spans="1:11" ht="12.75">
      <c r="A174" s="89">
        <v>81</v>
      </c>
      <c r="B174" s="94" t="s">
        <v>267</v>
      </c>
      <c r="C174" s="51" t="s">
        <v>33</v>
      </c>
      <c r="D174" s="51" t="s">
        <v>33</v>
      </c>
      <c r="E174" s="93">
        <v>68.134</v>
      </c>
      <c r="F174" s="43">
        <v>59.258</v>
      </c>
      <c r="G174" s="97"/>
      <c r="H174" s="97"/>
      <c r="I174" s="97"/>
      <c r="J174" s="76"/>
      <c r="K174" s="92"/>
    </row>
    <row r="175" spans="1:11" ht="12.75">
      <c r="A175" s="89">
        <v>82</v>
      </c>
      <c r="B175" s="94" t="s">
        <v>268</v>
      </c>
      <c r="C175" s="51" t="s">
        <v>33</v>
      </c>
      <c r="D175" s="51" t="s">
        <v>33</v>
      </c>
      <c r="E175" s="93">
        <v>222.27700000000002</v>
      </c>
      <c r="F175" s="43">
        <v>213.401</v>
      </c>
      <c r="G175" s="97"/>
      <c r="H175" s="97"/>
      <c r="I175" s="97"/>
      <c r="J175" s="76"/>
      <c r="K175" s="92"/>
    </row>
    <row r="176" spans="1:11" ht="12.75">
      <c r="A176" s="89">
        <v>83</v>
      </c>
      <c r="B176" s="94" t="s">
        <v>269</v>
      </c>
      <c r="C176" s="51" t="s">
        <v>60</v>
      </c>
      <c r="D176" s="51" t="s">
        <v>60</v>
      </c>
      <c r="E176" s="93">
        <v>91.476</v>
      </c>
      <c r="F176" s="43">
        <v>82.6</v>
      </c>
      <c r="G176" s="97"/>
      <c r="H176" s="97"/>
      <c r="I176" s="97"/>
      <c r="J176" s="76"/>
      <c r="K176" s="92"/>
    </row>
    <row r="177" spans="1:11" ht="12.75">
      <c r="A177" s="89">
        <v>84</v>
      </c>
      <c r="B177" s="94" t="s">
        <v>270</v>
      </c>
      <c r="C177" s="51" t="s">
        <v>60</v>
      </c>
      <c r="D177" s="51" t="s">
        <v>60</v>
      </c>
      <c r="E177" s="93">
        <v>135.38400000000001</v>
      </c>
      <c r="F177" s="43">
        <v>126.51</v>
      </c>
      <c r="G177" s="97"/>
      <c r="H177" s="97"/>
      <c r="I177" s="97"/>
      <c r="J177" s="76"/>
      <c r="K177" s="92"/>
    </row>
    <row r="178" spans="1:11" ht="12.75">
      <c r="A178" s="89">
        <v>85</v>
      </c>
      <c r="B178" s="94" t="s">
        <v>271</v>
      </c>
      <c r="C178" s="51" t="s">
        <v>151</v>
      </c>
      <c r="D178" s="51" t="s">
        <v>151</v>
      </c>
      <c r="E178" s="93">
        <v>224.752</v>
      </c>
      <c r="F178" s="43">
        <v>14.752</v>
      </c>
      <c r="G178" s="97"/>
      <c r="H178" s="97"/>
      <c r="I178" s="97"/>
      <c r="J178" s="76"/>
      <c r="K178" s="92"/>
    </row>
    <row r="179" spans="1:10" s="41" customFormat="1" ht="12.75">
      <c r="A179" s="34"/>
      <c r="B179" s="35" t="s">
        <v>272</v>
      </c>
      <c r="C179" s="99" t="s">
        <v>24</v>
      </c>
      <c r="D179" s="99" t="s">
        <v>33</v>
      </c>
      <c r="E179" s="37">
        <v>4908</v>
      </c>
      <c r="F179" s="88">
        <v>4908</v>
      </c>
      <c r="G179" s="100"/>
      <c r="H179" s="100"/>
      <c r="I179" s="100"/>
      <c r="J179" s="40"/>
    </row>
    <row r="180" spans="1:9" ht="12.75">
      <c r="A180" s="34"/>
      <c r="B180" s="35" t="s">
        <v>98</v>
      </c>
      <c r="C180" s="36"/>
      <c r="D180" s="36"/>
      <c r="E180" s="37">
        <f>SUM(E181:E217)</f>
        <v>188236.50999999998</v>
      </c>
      <c r="F180" s="37">
        <f>SUM(F181:F217)</f>
        <v>106594.11480000002</v>
      </c>
      <c r="G180" s="53"/>
      <c r="H180" s="53"/>
      <c r="I180" s="53"/>
    </row>
    <row r="181" spans="1:10" ht="25.5">
      <c r="A181" s="65">
        <v>1</v>
      </c>
      <c r="B181" s="61" t="s">
        <v>273</v>
      </c>
      <c r="C181" s="55">
        <v>2009</v>
      </c>
      <c r="D181" s="18" t="s">
        <v>29</v>
      </c>
      <c r="E181" s="101">
        <v>2042.85</v>
      </c>
      <c r="F181" s="102">
        <f>2042.85*0.72</f>
        <v>1470.8519999999999</v>
      </c>
      <c r="G181" s="58"/>
      <c r="H181" s="58"/>
      <c r="I181" s="58"/>
      <c r="J181" s="49"/>
    </row>
    <row r="182" spans="1:10" ht="25.5">
      <c r="A182" s="65">
        <v>2</v>
      </c>
      <c r="B182" s="61" t="s">
        <v>274</v>
      </c>
      <c r="C182" s="18" t="s">
        <v>24</v>
      </c>
      <c r="D182" s="18" t="s">
        <v>63</v>
      </c>
      <c r="E182" s="101">
        <v>1842.51</v>
      </c>
      <c r="F182" s="102">
        <f>17.43*0.72</f>
        <v>12.5496</v>
      </c>
      <c r="G182" s="58"/>
      <c r="H182" s="58"/>
      <c r="I182" s="58"/>
      <c r="J182" s="49"/>
    </row>
    <row r="183" spans="1:10" ht="28.5" customHeight="1">
      <c r="A183" s="65">
        <v>3</v>
      </c>
      <c r="B183" s="61" t="s">
        <v>275</v>
      </c>
      <c r="C183" s="18" t="s">
        <v>24</v>
      </c>
      <c r="D183" s="18" t="s">
        <v>24</v>
      </c>
      <c r="E183" s="101">
        <v>1930.75</v>
      </c>
      <c r="F183" s="102">
        <f>(1914.28+16.47)*0.72</f>
        <v>1390.1399999999999</v>
      </c>
      <c r="G183" s="58"/>
      <c r="H183" s="58"/>
      <c r="I183" s="58"/>
      <c r="J183" s="49"/>
    </row>
    <row r="184" spans="1:10" ht="25.5">
      <c r="A184" s="65">
        <v>4</v>
      </c>
      <c r="B184" s="61" t="s">
        <v>276</v>
      </c>
      <c r="C184" s="18" t="s">
        <v>24</v>
      </c>
      <c r="D184" s="18" t="s">
        <v>63</v>
      </c>
      <c r="E184" s="101">
        <v>1820</v>
      </c>
      <c r="F184" s="102">
        <f>16.95*0.72</f>
        <v>12.203999999999999</v>
      </c>
      <c r="G184" s="58"/>
      <c r="H184" s="58"/>
      <c r="I184" s="58"/>
      <c r="J184" s="49"/>
    </row>
    <row r="185" spans="1:10" ht="25.5">
      <c r="A185" s="65">
        <v>5</v>
      </c>
      <c r="B185" s="61" t="s">
        <v>277</v>
      </c>
      <c r="C185" s="18" t="s">
        <v>43</v>
      </c>
      <c r="D185" s="18" t="s">
        <v>33</v>
      </c>
      <c r="E185" s="101">
        <v>4651.44</v>
      </c>
      <c r="F185" s="102">
        <f>4513.51+104.03</f>
        <v>4617.54</v>
      </c>
      <c r="G185" s="58"/>
      <c r="H185" s="58"/>
      <c r="I185" s="58"/>
      <c r="J185" s="49"/>
    </row>
    <row r="186" spans="1:10" ht="25.5">
      <c r="A186" s="65">
        <v>6</v>
      </c>
      <c r="B186" s="61" t="s">
        <v>278</v>
      </c>
      <c r="C186" s="18" t="s">
        <v>43</v>
      </c>
      <c r="D186" s="18" t="s">
        <v>60</v>
      </c>
      <c r="E186" s="101">
        <v>4392.3</v>
      </c>
      <c r="F186" s="102">
        <f>4375.35</f>
        <v>4375.35</v>
      </c>
      <c r="G186" s="58"/>
      <c r="H186" s="58"/>
      <c r="I186" s="58"/>
      <c r="J186" s="49"/>
    </row>
    <row r="187" spans="1:10" ht="25.5">
      <c r="A187" s="65">
        <v>7</v>
      </c>
      <c r="B187" s="61" t="s">
        <v>279</v>
      </c>
      <c r="C187" s="18" t="s">
        <v>43</v>
      </c>
      <c r="D187" s="18" t="s">
        <v>33</v>
      </c>
      <c r="E187" s="101">
        <v>639.6</v>
      </c>
      <c r="F187" s="102">
        <f>616.42+10.47</f>
        <v>626.89</v>
      </c>
      <c r="G187" s="58"/>
      <c r="H187" s="58"/>
      <c r="I187" s="58"/>
      <c r="J187" s="49"/>
    </row>
    <row r="188" spans="1:10" ht="25.5">
      <c r="A188" s="65">
        <v>8</v>
      </c>
      <c r="B188" s="61" t="s">
        <v>280</v>
      </c>
      <c r="C188" s="18" t="s">
        <v>29</v>
      </c>
      <c r="D188" s="18" t="s">
        <v>60</v>
      </c>
      <c r="E188" s="101">
        <v>8732.14</v>
      </c>
      <c r="F188" s="102">
        <f>(8583.27+148.87)*0.72</f>
        <v>6287.140800000001</v>
      </c>
      <c r="G188" s="58"/>
      <c r="H188" s="58"/>
      <c r="I188" s="58"/>
      <c r="J188" s="49"/>
    </row>
    <row r="189" spans="1:10" ht="25.5">
      <c r="A189" s="65">
        <v>9</v>
      </c>
      <c r="B189" s="61" t="s">
        <v>281</v>
      </c>
      <c r="C189" s="18" t="s">
        <v>68</v>
      </c>
      <c r="D189" s="18" t="s">
        <v>152</v>
      </c>
      <c r="E189" s="101">
        <v>13559.33</v>
      </c>
      <c r="F189" s="102">
        <f>257.01*0.72</f>
        <v>185.04719999999998</v>
      </c>
      <c r="G189" s="58"/>
      <c r="H189" s="58"/>
      <c r="I189" s="58"/>
      <c r="J189" s="49"/>
    </row>
    <row r="190" spans="1:10" ht="25.5">
      <c r="A190" s="65">
        <v>10</v>
      </c>
      <c r="B190" s="61" t="s">
        <v>282</v>
      </c>
      <c r="C190" s="18" t="s">
        <v>68</v>
      </c>
      <c r="D190" s="18" t="s">
        <v>60</v>
      </c>
      <c r="E190" s="103">
        <v>19064.65</v>
      </c>
      <c r="F190" s="103">
        <f>15139.43*0.72</f>
        <v>10900.3896</v>
      </c>
      <c r="G190" s="58"/>
      <c r="H190" s="58"/>
      <c r="I190" s="58"/>
      <c r="J190" s="49"/>
    </row>
    <row r="191" spans="1:10" ht="25.5">
      <c r="A191" s="65">
        <v>11</v>
      </c>
      <c r="B191" s="61" t="s">
        <v>283</v>
      </c>
      <c r="C191" s="18" t="s">
        <v>43</v>
      </c>
      <c r="D191" s="18" t="s">
        <v>60</v>
      </c>
      <c r="E191" s="101">
        <v>13903.78</v>
      </c>
      <c r="F191" s="102">
        <f>13802.09</f>
        <v>13802.09</v>
      </c>
      <c r="G191" s="58"/>
      <c r="H191" s="58"/>
      <c r="I191" s="58"/>
      <c r="J191" s="49"/>
    </row>
    <row r="192" spans="1:10" ht="25.5">
      <c r="A192" s="65">
        <v>12</v>
      </c>
      <c r="B192" s="61" t="s">
        <v>284</v>
      </c>
      <c r="C192" s="18" t="s">
        <v>43</v>
      </c>
      <c r="D192" s="18" t="s">
        <v>29</v>
      </c>
      <c r="E192" s="101">
        <v>2394.36</v>
      </c>
      <c r="F192" s="102">
        <v>2362.64</v>
      </c>
      <c r="G192" s="58"/>
      <c r="H192" s="58"/>
      <c r="I192" s="58"/>
      <c r="J192" s="49"/>
    </row>
    <row r="193" spans="1:10" ht="25.5">
      <c r="A193" s="65">
        <v>13</v>
      </c>
      <c r="B193" s="61" t="s">
        <v>285</v>
      </c>
      <c r="C193" s="18" t="s">
        <v>43</v>
      </c>
      <c r="D193" s="18" t="s">
        <v>29</v>
      </c>
      <c r="E193" s="101">
        <v>826.12</v>
      </c>
      <c r="F193" s="102">
        <v>810.86</v>
      </c>
      <c r="G193" s="58"/>
      <c r="H193" s="58"/>
      <c r="I193" s="58"/>
      <c r="J193" s="49"/>
    </row>
    <row r="194" spans="1:10" ht="38.25">
      <c r="A194" s="65">
        <v>15</v>
      </c>
      <c r="B194" s="61" t="s">
        <v>286</v>
      </c>
      <c r="C194" s="18" t="s">
        <v>43</v>
      </c>
      <c r="D194" s="18" t="s">
        <v>29</v>
      </c>
      <c r="E194" s="101">
        <v>2869.09</v>
      </c>
      <c r="F194" s="102">
        <f>2857.23*0.72</f>
        <v>2057.2056</v>
      </c>
      <c r="G194" s="58"/>
      <c r="H194" s="58"/>
      <c r="I194" s="58"/>
      <c r="J194" s="49"/>
    </row>
    <row r="195" spans="1:10" ht="25.5">
      <c r="A195" s="65">
        <v>16</v>
      </c>
      <c r="B195" s="61" t="s">
        <v>287</v>
      </c>
      <c r="C195" s="18" t="s">
        <v>43</v>
      </c>
      <c r="D195" s="18" t="s">
        <v>29</v>
      </c>
      <c r="E195" s="101">
        <v>5130.79</v>
      </c>
      <c r="F195" s="102">
        <f>5071.47*0.72</f>
        <v>3651.4584</v>
      </c>
      <c r="G195" s="58"/>
      <c r="H195" s="58"/>
      <c r="I195" s="58"/>
      <c r="J195" s="49"/>
    </row>
    <row r="196" spans="1:10" ht="25.5">
      <c r="A196" s="65">
        <v>17</v>
      </c>
      <c r="B196" s="61" t="s">
        <v>288</v>
      </c>
      <c r="C196" s="18" t="s">
        <v>68</v>
      </c>
      <c r="D196" s="18" t="s">
        <v>29</v>
      </c>
      <c r="E196" s="101">
        <f>20436.45+524.22</f>
        <v>20960.670000000002</v>
      </c>
      <c r="F196" s="102">
        <f>12563.89*0.72</f>
        <v>9046.0008</v>
      </c>
      <c r="G196" s="58"/>
      <c r="H196" s="58"/>
      <c r="I196" s="58"/>
      <c r="J196" s="49"/>
    </row>
    <row r="197" spans="1:10" ht="25.5">
      <c r="A197" s="65">
        <v>18</v>
      </c>
      <c r="B197" s="61" t="s">
        <v>289</v>
      </c>
      <c r="C197" s="18" t="s">
        <v>43</v>
      </c>
      <c r="D197" s="18" t="s">
        <v>33</v>
      </c>
      <c r="E197" s="101">
        <v>5575.99</v>
      </c>
      <c r="F197" s="102">
        <f>4386.19*0.72</f>
        <v>3158.0567999999994</v>
      </c>
      <c r="G197" s="58"/>
      <c r="H197" s="58"/>
      <c r="I197" s="58"/>
      <c r="J197" s="49"/>
    </row>
    <row r="198" spans="1:10" ht="27.75" customHeight="1">
      <c r="A198" s="65">
        <f aca="true" t="shared" si="1" ref="A198:A216">A197+1</f>
        <v>19</v>
      </c>
      <c r="B198" s="61" t="s">
        <v>290</v>
      </c>
      <c r="C198" s="18" t="s">
        <v>68</v>
      </c>
      <c r="D198" s="18" t="s">
        <v>33</v>
      </c>
      <c r="E198" s="101">
        <v>1562.43</v>
      </c>
      <c r="F198" s="102">
        <v>117.01</v>
      </c>
      <c r="G198" s="58"/>
      <c r="H198" s="58"/>
      <c r="I198" s="58"/>
      <c r="J198" s="49"/>
    </row>
    <row r="199" spans="1:10" ht="25.5">
      <c r="A199" s="65">
        <f t="shared" si="1"/>
        <v>20</v>
      </c>
      <c r="B199" s="61" t="s">
        <v>291</v>
      </c>
      <c r="C199" s="18" t="s">
        <v>43</v>
      </c>
      <c r="D199" s="18" t="s">
        <v>29</v>
      </c>
      <c r="E199" s="101">
        <v>97.89</v>
      </c>
      <c r="F199" s="102">
        <f>97.89*0.72</f>
        <v>70.4808</v>
      </c>
      <c r="G199" s="58"/>
      <c r="H199" s="58"/>
      <c r="I199" s="58"/>
      <c r="J199" s="49"/>
    </row>
    <row r="200" spans="1:10" ht="25.5">
      <c r="A200" s="65">
        <f t="shared" si="1"/>
        <v>21</v>
      </c>
      <c r="B200" s="127" t="s">
        <v>292</v>
      </c>
      <c r="C200" s="18" t="s">
        <v>33</v>
      </c>
      <c r="D200" s="18" t="s">
        <v>60</v>
      </c>
      <c r="E200" s="101">
        <v>5508.31</v>
      </c>
      <c r="F200" s="102">
        <f>(5459.45+48.86)*0.72</f>
        <v>3965.9831999999997</v>
      </c>
      <c r="G200" s="58"/>
      <c r="H200" s="58"/>
      <c r="I200" s="58"/>
      <c r="J200" s="49"/>
    </row>
    <row r="201" spans="1:10" ht="25.5">
      <c r="A201" s="65">
        <f t="shared" si="1"/>
        <v>22</v>
      </c>
      <c r="B201" s="61" t="s">
        <v>293</v>
      </c>
      <c r="C201" s="18" t="s">
        <v>33</v>
      </c>
      <c r="D201" s="18" t="s">
        <v>33</v>
      </c>
      <c r="E201" s="101">
        <v>917.67</v>
      </c>
      <c r="F201" s="102">
        <f>(905.11+12.56)*0.72</f>
        <v>660.7224</v>
      </c>
      <c r="G201" s="58"/>
      <c r="H201" s="58"/>
      <c r="I201" s="58"/>
      <c r="J201" s="49"/>
    </row>
    <row r="202" spans="1:10" ht="25.5">
      <c r="A202" s="65">
        <f t="shared" si="1"/>
        <v>23</v>
      </c>
      <c r="B202" s="128" t="s">
        <v>294</v>
      </c>
      <c r="C202" s="18" t="s">
        <v>33</v>
      </c>
      <c r="D202" s="18" t="s">
        <v>60</v>
      </c>
      <c r="E202" s="101">
        <v>16082.18</v>
      </c>
      <c r="F202" s="102">
        <f>(16019.36+62.82)*0.72</f>
        <v>11579.1696</v>
      </c>
      <c r="G202" s="58"/>
      <c r="H202" s="58"/>
      <c r="I202" s="58"/>
      <c r="J202" s="49"/>
    </row>
    <row r="203" spans="1:10" ht="25.5">
      <c r="A203" s="65">
        <f t="shared" si="1"/>
        <v>24</v>
      </c>
      <c r="B203" s="128" t="s">
        <v>295</v>
      </c>
      <c r="C203" s="18" t="s">
        <v>33</v>
      </c>
      <c r="D203" s="18" t="s">
        <v>60</v>
      </c>
      <c r="E203" s="101">
        <v>1770.54</v>
      </c>
      <c r="F203" s="102">
        <f>1731.33+39.21</f>
        <v>1770.54</v>
      </c>
      <c r="G203" s="58"/>
      <c r="H203" s="58"/>
      <c r="I203" s="58"/>
      <c r="J203" s="49"/>
    </row>
    <row r="204" spans="1:10" ht="25.5">
      <c r="A204" s="65">
        <f t="shared" si="1"/>
        <v>25</v>
      </c>
      <c r="B204" s="128" t="s">
        <v>296</v>
      </c>
      <c r="C204" s="18" t="s">
        <v>33</v>
      </c>
      <c r="D204" s="18" t="s">
        <v>60</v>
      </c>
      <c r="E204" s="101">
        <v>1536.32</v>
      </c>
      <c r="F204" s="102">
        <f>1497.11+39.21</f>
        <v>1536.32</v>
      </c>
      <c r="G204" s="58"/>
      <c r="H204" s="58"/>
      <c r="I204" s="58"/>
      <c r="J204" s="49"/>
    </row>
    <row r="205" spans="1:10" ht="25.5">
      <c r="A205" s="65">
        <f t="shared" si="1"/>
        <v>26</v>
      </c>
      <c r="B205" s="128" t="s">
        <v>297</v>
      </c>
      <c r="C205" s="18" t="s">
        <v>33</v>
      </c>
      <c r="D205" s="18" t="s">
        <v>30</v>
      </c>
      <c r="E205" s="101">
        <v>3986.69</v>
      </c>
      <c r="F205" s="102">
        <f>(3769.4+217.29)*0.72</f>
        <v>2870.4168</v>
      </c>
      <c r="G205" s="58"/>
      <c r="H205" s="58"/>
      <c r="I205" s="58"/>
      <c r="J205" s="49"/>
    </row>
    <row r="206" spans="1:10" ht="25.5">
      <c r="A206" s="65">
        <f t="shared" si="1"/>
        <v>27</v>
      </c>
      <c r="B206" s="128" t="s">
        <v>298</v>
      </c>
      <c r="C206" s="18" t="s">
        <v>33</v>
      </c>
      <c r="D206" s="18" t="s">
        <v>60</v>
      </c>
      <c r="E206" s="101">
        <v>9984.66</v>
      </c>
      <c r="F206" s="102">
        <f>(9917.65+67.01)*0.72</f>
        <v>7188.955199999999</v>
      </c>
      <c r="G206" s="58"/>
      <c r="H206" s="58"/>
      <c r="I206" s="58"/>
      <c r="J206" s="49"/>
    </row>
    <row r="207" spans="1:10" ht="25.5">
      <c r="A207" s="65">
        <f t="shared" si="1"/>
        <v>28</v>
      </c>
      <c r="B207" s="128" t="s">
        <v>299</v>
      </c>
      <c r="C207" s="18" t="s">
        <v>33</v>
      </c>
      <c r="D207" s="18" t="s">
        <v>60</v>
      </c>
      <c r="E207" s="101">
        <v>961.74</v>
      </c>
      <c r="F207" s="102">
        <f>(936.05+25.69)*0</f>
        <v>0</v>
      </c>
      <c r="G207" s="58"/>
      <c r="H207" s="58"/>
      <c r="I207" s="58"/>
      <c r="J207" s="49"/>
    </row>
    <row r="208" spans="1:10" ht="12.75" customHeight="1">
      <c r="A208" s="65">
        <f t="shared" si="1"/>
        <v>29</v>
      </c>
      <c r="B208" s="128" t="s">
        <v>300</v>
      </c>
      <c r="C208" s="18" t="s">
        <v>33</v>
      </c>
      <c r="D208" s="18" t="s">
        <v>60</v>
      </c>
      <c r="E208" s="101">
        <v>1536.97</v>
      </c>
      <c r="F208" s="102">
        <f>(1509.05+27.92)*0</f>
        <v>0</v>
      </c>
      <c r="G208" s="58"/>
      <c r="H208" s="58"/>
      <c r="I208" s="58"/>
      <c r="J208" s="49"/>
    </row>
    <row r="209" spans="1:10" ht="25.5">
      <c r="A209" s="65">
        <f t="shared" si="1"/>
        <v>30</v>
      </c>
      <c r="B209" s="128" t="s">
        <v>301</v>
      </c>
      <c r="C209" s="18" t="s">
        <v>33</v>
      </c>
      <c r="D209" s="18" t="s">
        <v>60</v>
      </c>
      <c r="E209" s="101">
        <v>3605.11</v>
      </c>
      <c r="F209" s="102">
        <f>(3559.74+45.37)*0.72</f>
        <v>2595.6791999999996</v>
      </c>
      <c r="G209" s="58"/>
      <c r="H209" s="58"/>
      <c r="I209" s="58"/>
      <c r="J209" s="49"/>
    </row>
    <row r="210" spans="1:10" ht="25.5">
      <c r="A210" s="65">
        <f t="shared" si="1"/>
        <v>31</v>
      </c>
      <c r="B210" s="128" t="s">
        <v>302</v>
      </c>
      <c r="C210" s="18" t="s">
        <v>33</v>
      </c>
      <c r="D210" s="18" t="s">
        <v>60</v>
      </c>
      <c r="E210" s="101">
        <v>927.86</v>
      </c>
      <c r="F210" s="102">
        <f>(910.41+17.45)*0.72</f>
        <v>668.0592</v>
      </c>
      <c r="G210" s="58"/>
      <c r="H210" s="58"/>
      <c r="I210" s="58"/>
      <c r="J210" s="49"/>
    </row>
    <row r="211" spans="1:10" ht="25.5">
      <c r="A211" s="65">
        <f t="shared" si="1"/>
        <v>32</v>
      </c>
      <c r="B211" s="128" t="s">
        <v>303</v>
      </c>
      <c r="C211" s="18" t="s">
        <v>33</v>
      </c>
      <c r="D211" s="18" t="s">
        <v>60</v>
      </c>
      <c r="E211" s="101">
        <v>1217.5</v>
      </c>
      <c r="F211" s="102">
        <f>(1203.95+13.55)*0.72</f>
        <v>876.6</v>
      </c>
      <c r="G211" s="58"/>
      <c r="H211" s="58"/>
      <c r="I211" s="58"/>
      <c r="J211" s="49"/>
    </row>
    <row r="212" spans="1:10" ht="25.5">
      <c r="A212" s="65">
        <f t="shared" si="1"/>
        <v>33</v>
      </c>
      <c r="B212" s="128" t="s">
        <v>304</v>
      </c>
      <c r="C212" s="18" t="s">
        <v>33</v>
      </c>
      <c r="D212" s="18" t="s">
        <v>60</v>
      </c>
      <c r="E212" s="101">
        <v>1090.71</v>
      </c>
      <c r="F212" s="102">
        <f>(1080.94+9.77)*0.72</f>
        <v>785.3112</v>
      </c>
      <c r="G212" s="58"/>
      <c r="H212" s="58"/>
      <c r="I212" s="58"/>
      <c r="J212" s="49"/>
    </row>
    <row r="213" spans="1:10" ht="25.5">
      <c r="A213" s="65">
        <f t="shared" si="1"/>
        <v>34</v>
      </c>
      <c r="B213" s="127" t="s">
        <v>305</v>
      </c>
      <c r="C213" s="18" t="s">
        <v>33</v>
      </c>
      <c r="D213" s="18" t="s">
        <v>60</v>
      </c>
      <c r="E213" s="101">
        <v>3424.97</v>
      </c>
      <c r="F213" s="102">
        <f>3223.59+201.38</f>
        <v>3424.9700000000003</v>
      </c>
      <c r="G213" s="58"/>
      <c r="H213" s="58"/>
      <c r="I213" s="58"/>
      <c r="J213" s="49"/>
    </row>
    <row r="214" spans="1:10" ht="25.5">
      <c r="A214" s="65">
        <f t="shared" si="1"/>
        <v>35</v>
      </c>
      <c r="B214" s="127" t="s">
        <v>306</v>
      </c>
      <c r="C214" s="18" t="s">
        <v>33</v>
      </c>
      <c r="D214" s="18" t="s">
        <v>60</v>
      </c>
      <c r="E214" s="101">
        <v>1646.25</v>
      </c>
      <c r="F214" s="102">
        <f>(1603.2+43.05)*0.72</f>
        <v>1185.3</v>
      </c>
      <c r="G214" s="58"/>
      <c r="H214" s="58"/>
      <c r="I214" s="58"/>
      <c r="J214" s="49"/>
    </row>
    <row r="215" spans="1:10" ht="25.5">
      <c r="A215" s="65">
        <f t="shared" si="1"/>
        <v>36</v>
      </c>
      <c r="B215" s="127" t="s">
        <v>307</v>
      </c>
      <c r="C215" s="18" t="s">
        <v>60</v>
      </c>
      <c r="D215" s="18" t="s">
        <v>30</v>
      </c>
      <c r="E215" s="101">
        <f>1430.2+48</f>
        <v>1478.2</v>
      </c>
      <c r="F215" s="102">
        <f>(959.9+48)*0.72</f>
        <v>725.688</v>
      </c>
      <c r="G215" s="58"/>
      <c r="H215" s="58"/>
      <c r="I215" s="58"/>
      <c r="J215" s="49"/>
    </row>
    <row r="216" spans="1:10" ht="25.5">
      <c r="A216" s="65">
        <f t="shared" si="1"/>
        <v>37</v>
      </c>
      <c r="B216" s="127" t="s">
        <v>308</v>
      </c>
      <c r="C216" s="18" t="s">
        <v>29</v>
      </c>
      <c r="D216" s="18" t="s">
        <v>152</v>
      </c>
      <c r="E216" s="101">
        <v>18075</v>
      </c>
      <c r="F216" s="102">
        <f>67.8*0.72</f>
        <v>48.815999999999995</v>
      </c>
      <c r="G216" s="58"/>
      <c r="H216" s="58"/>
      <c r="I216" s="58"/>
      <c r="J216" s="49"/>
    </row>
    <row r="217" spans="1:10" ht="25.5">
      <c r="A217" s="104">
        <v>38</v>
      </c>
      <c r="B217" s="105" t="s">
        <v>309</v>
      </c>
      <c r="C217" s="106" t="s">
        <v>310</v>
      </c>
      <c r="D217" s="106" t="s">
        <v>60</v>
      </c>
      <c r="E217" s="101">
        <f>275.56+76.13+114.64+86.58+82.4+89.26+326.66+106.51+74.93+14.02+39.65+42.81+84.7+124.5+103.48+93.82+86.23+257.93+33.9+152.19+9.42+57.19+38.5+83.11+35.02</f>
        <v>2489.1400000000003</v>
      </c>
      <c r="F217" s="101">
        <f>(270.53+73.83+112.95+83.54+80.51+86.76+324.07+106.51+71.73+14.02+35.17+38.27+84.7+124.5+103.48+93.82+86.23+257.93+8.22+152.19+9.42+57.19+38.5+83.11+35.02+9.02)*0.72</f>
        <v>1757.6783999999998</v>
      </c>
      <c r="G217" s="58"/>
      <c r="H217" s="58"/>
      <c r="I217" s="58"/>
      <c r="J217" s="49"/>
    </row>
    <row r="218" spans="1:9" ht="12.75">
      <c r="A218" s="30" t="s">
        <v>311</v>
      </c>
      <c r="B218" s="107" t="s">
        <v>312</v>
      </c>
      <c r="C218" s="108"/>
      <c r="D218" s="108"/>
      <c r="E218" s="109">
        <v>70</v>
      </c>
      <c r="F218" s="110">
        <f>97*0.72</f>
        <v>69.84</v>
      </c>
      <c r="G218" s="108"/>
      <c r="H218" s="108"/>
      <c r="I218" s="108"/>
    </row>
    <row r="219" spans="1:9" ht="12.75">
      <c r="A219" s="30" t="s">
        <v>313</v>
      </c>
      <c r="B219" s="111" t="s">
        <v>314</v>
      </c>
      <c r="C219" s="108"/>
      <c r="D219" s="108"/>
      <c r="E219" s="112"/>
      <c r="F219" s="33">
        <f>SUM(F220:F225)</f>
        <v>87876.44</v>
      </c>
      <c r="G219" s="108"/>
      <c r="H219" s="108"/>
      <c r="I219" s="108"/>
    </row>
    <row r="220" spans="1:9" ht="12.75">
      <c r="A220" s="25" t="s">
        <v>315</v>
      </c>
      <c r="B220" s="113" t="s">
        <v>316</v>
      </c>
      <c r="C220" s="58"/>
      <c r="D220" s="58"/>
      <c r="E220" s="114"/>
      <c r="F220" s="103">
        <v>55607</v>
      </c>
      <c r="G220" s="58"/>
      <c r="H220" s="58"/>
      <c r="I220" s="58"/>
    </row>
    <row r="221" spans="1:9" ht="12.75">
      <c r="A221" s="25" t="s">
        <v>317</v>
      </c>
      <c r="B221" s="113" t="s">
        <v>318</v>
      </c>
      <c r="C221" s="58"/>
      <c r="D221" s="58"/>
      <c r="E221" s="114"/>
      <c r="F221" s="103">
        <v>2203</v>
      </c>
      <c r="G221" s="58"/>
      <c r="H221" s="58"/>
      <c r="I221" s="58"/>
    </row>
    <row r="222" spans="1:9" ht="12.75">
      <c r="A222" s="25" t="s">
        <v>319</v>
      </c>
      <c r="B222" s="113" t="s">
        <v>320</v>
      </c>
      <c r="C222" s="58"/>
      <c r="D222" s="58"/>
      <c r="E222" s="114"/>
      <c r="F222" s="103">
        <v>17192</v>
      </c>
      <c r="G222" s="58"/>
      <c r="H222" s="58"/>
      <c r="I222" s="58"/>
    </row>
    <row r="223" spans="1:9" ht="12.75">
      <c r="A223" s="115" t="s">
        <v>321</v>
      </c>
      <c r="B223" s="113" t="s">
        <v>322</v>
      </c>
      <c r="C223" s="58"/>
      <c r="D223" s="58"/>
      <c r="E223" s="114"/>
      <c r="F223" s="103">
        <f>(4983+1780+1177)*0.72+1982</f>
        <v>7698.8</v>
      </c>
      <c r="G223" s="58"/>
      <c r="H223" s="58"/>
      <c r="I223" s="58"/>
    </row>
    <row r="224" spans="1:9" ht="12.75">
      <c r="A224" s="115" t="s">
        <v>323</v>
      </c>
      <c r="B224" s="113" t="s">
        <v>324</v>
      </c>
      <c r="C224" s="58"/>
      <c r="D224" s="58"/>
      <c r="E224" s="114"/>
      <c r="F224" s="103">
        <v>5129</v>
      </c>
      <c r="G224" s="58"/>
      <c r="H224" s="58"/>
      <c r="I224" s="58"/>
    </row>
    <row r="225" spans="1:9" ht="12.75">
      <c r="A225" s="115" t="s">
        <v>325</v>
      </c>
      <c r="B225" s="113" t="s">
        <v>326</v>
      </c>
      <c r="C225" s="58"/>
      <c r="D225" s="58"/>
      <c r="E225" s="114"/>
      <c r="F225" s="103">
        <f>20+37*0.72</f>
        <v>46.64</v>
      </c>
      <c r="G225" s="58"/>
      <c r="H225" s="58"/>
      <c r="I225" s="58"/>
    </row>
    <row r="226" spans="1:9" ht="12.75">
      <c r="A226" s="116"/>
      <c r="B226" s="117"/>
      <c r="C226" s="118"/>
      <c r="D226" s="118"/>
      <c r="E226" s="118"/>
      <c r="F226" s="119"/>
      <c r="G226" s="118"/>
      <c r="H226" s="118"/>
      <c r="I226" s="118"/>
    </row>
    <row r="227" spans="1:9" s="3" customFormat="1" ht="17.25" customHeight="1">
      <c r="A227" s="120" t="s">
        <v>327</v>
      </c>
      <c r="B227" s="120"/>
      <c r="C227" s="120"/>
      <c r="D227" s="120"/>
      <c r="E227" s="120"/>
      <c r="F227" s="120"/>
      <c r="G227" s="120"/>
      <c r="H227" s="120"/>
      <c r="I227" s="120"/>
    </row>
    <row r="228" spans="1:5" ht="12.75">
      <c r="A228" s="1" t="s">
        <v>328</v>
      </c>
      <c r="B228" s="121"/>
      <c r="C228" s="122"/>
      <c r="D228" s="122"/>
      <c r="E228" s="122"/>
    </row>
    <row r="229" spans="1:9" ht="28.5" customHeight="1">
      <c r="A229" s="123" t="s">
        <v>329</v>
      </c>
      <c r="B229" s="123"/>
      <c r="C229" s="123"/>
      <c r="D229" s="123"/>
      <c r="E229" s="123"/>
      <c r="F229" s="123"/>
      <c r="G229" s="123"/>
      <c r="H229" s="123"/>
      <c r="I229" s="123"/>
    </row>
    <row r="230" spans="1:11" ht="24.75" customHeight="1">
      <c r="A230" s="123" t="s">
        <v>330</v>
      </c>
      <c r="B230" s="123"/>
      <c r="C230" s="123"/>
      <c r="D230" s="123"/>
      <c r="E230" s="123"/>
      <c r="F230" s="123"/>
      <c r="G230" s="123"/>
      <c r="H230" s="123"/>
      <c r="I230" s="123"/>
      <c r="J230" s="124"/>
      <c r="K230" s="125"/>
    </row>
    <row r="231" spans="1:9" ht="12.75" customHeight="1">
      <c r="A231" s="123" t="s">
        <v>331</v>
      </c>
      <c r="B231" s="123"/>
      <c r="C231" s="123"/>
      <c r="D231" s="123"/>
      <c r="E231" s="123"/>
      <c r="F231" s="123"/>
      <c r="G231" s="123"/>
      <c r="H231" s="123"/>
      <c r="I231" s="123"/>
    </row>
    <row r="232" spans="1:11" ht="26.25" customHeight="1">
      <c r="A232" s="123" t="s">
        <v>332</v>
      </c>
      <c r="B232" s="123"/>
      <c r="C232" s="123"/>
      <c r="D232" s="123"/>
      <c r="E232" s="123"/>
      <c r="F232" s="123"/>
      <c r="G232" s="123"/>
      <c r="H232" s="123"/>
      <c r="I232" s="123"/>
      <c r="J232" s="124"/>
      <c r="K232" s="125"/>
    </row>
    <row r="239" ht="15.75">
      <c r="E239" s="126"/>
    </row>
  </sheetData>
  <sheetProtection/>
  <mergeCells count="13">
    <mergeCell ref="A232:I232"/>
    <mergeCell ref="F6:I6"/>
    <mergeCell ref="G9:I9"/>
    <mergeCell ref="B7:K7"/>
    <mergeCell ref="A9:A10"/>
    <mergeCell ref="B9:B10"/>
    <mergeCell ref="C9:D9"/>
    <mergeCell ref="E9:F9"/>
    <mergeCell ref="A227:I227"/>
    <mergeCell ref="B5:I5"/>
    <mergeCell ref="A229:I229"/>
    <mergeCell ref="A230:I230"/>
    <mergeCell ref="A231:I231"/>
  </mergeCells>
  <printOptions horizontalCentered="1"/>
  <pageMargins left="0.4724409448818898" right="0.2755905511811024" top="0.3937007874015748" bottom="0.1968503937007874" header="0.5118110236220472" footer="0.5118110236220472"/>
  <pageSetup fitToHeight="9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Endovickaya</dc:creator>
  <cp:keywords/>
  <dc:description/>
  <cp:lastModifiedBy>Endovickaya</cp:lastModifiedBy>
  <dcterms:created xsi:type="dcterms:W3CDTF">2012-04-12T06:20:53Z</dcterms:created>
  <dcterms:modified xsi:type="dcterms:W3CDTF">2012-04-12T06:22:06Z</dcterms:modified>
  <cp:category/>
  <cp:version/>
  <cp:contentType/>
  <cp:contentStatus/>
</cp:coreProperties>
</file>