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9320" windowHeight="9975"/>
  </bookViews>
  <sheets>
    <sheet name="Инвест.программы" sheetId="1" r:id="rId1"/>
    <sheet name="Лист1" sheetId="2" r:id="rId2"/>
  </sheets>
  <definedNames>
    <definedName name="_xlnm.Print_Area" localSheetId="0">Инвест.программы!$A$1:$I$192</definedName>
  </definedNames>
  <calcPr calcId="144525"/>
</workbook>
</file>

<file path=xl/calcChain.xml><?xml version="1.0" encoding="utf-8"?>
<calcChain xmlns="http://schemas.openxmlformats.org/spreadsheetml/2006/main">
  <c r="F156" i="1" l="1"/>
  <c r="E156" i="1"/>
  <c r="F67" i="1" l="1"/>
  <c r="E67" i="1"/>
  <c r="F102" i="1"/>
  <c r="E102" i="1"/>
  <c r="E99" i="1"/>
  <c r="E52" i="1" l="1"/>
  <c r="E51" i="1"/>
  <c r="E45" i="1"/>
  <c r="E43" i="1"/>
  <c r="E42" i="1"/>
  <c r="E34" i="1"/>
  <c r="E29" i="1"/>
  <c r="E28" i="1"/>
  <c r="F99" i="1"/>
  <c r="E58" i="1"/>
  <c r="F65" i="1"/>
  <c r="F64" i="1"/>
  <c r="F63" i="1"/>
  <c r="F58" i="1" s="1"/>
  <c r="F39" i="1"/>
  <c r="E39" i="1"/>
  <c r="F32" i="1"/>
  <c r="F31" i="1"/>
  <c r="F30" i="1"/>
  <c r="F25" i="1"/>
  <c r="F176" i="1" l="1"/>
  <c r="E176" i="1"/>
  <c r="F174" i="1"/>
  <c r="E174" i="1"/>
  <c r="F173" i="1"/>
  <c r="E173" i="1"/>
  <c r="F172" i="1"/>
  <c r="E172" i="1"/>
  <c r="F116" i="1"/>
  <c r="E116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34" i="1"/>
  <c r="F33" i="1"/>
  <c r="F43" i="1"/>
  <c r="F42" i="1"/>
  <c r="E38" i="1" l="1"/>
  <c r="F38" i="1"/>
  <c r="F168" i="1"/>
  <c r="E168" i="1"/>
  <c r="E159" i="1"/>
  <c r="F162" i="1" l="1"/>
  <c r="E162" i="1"/>
  <c r="F161" i="1"/>
  <c r="E161" i="1"/>
  <c r="F166" i="1"/>
  <c r="E166" i="1"/>
  <c r="F164" i="1"/>
  <c r="F160" i="1"/>
  <c r="F158" i="1"/>
  <c r="E164" i="1"/>
  <c r="E160" i="1"/>
  <c r="E158" i="1"/>
  <c r="F47" i="1"/>
  <c r="E47" i="1"/>
  <c r="F46" i="1"/>
  <c r="E46" i="1"/>
  <c r="F45" i="1"/>
  <c r="F54" i="1"/>
  <c r="E54" i="1"/>
  <c r="F53" i="1"/>
  <c r="E53" i="1"/>
  <c r="F51" i="1"/>
  <c r="F52" i="1"/>
  <c r="E50" i="1"/>
  <c r="E25" i="1"/>
  <c r="F28" i="1"/>
  <c r="F29" i="1"/>
  <c r="F20" i="1" l="1"/>
  <c r="F18" i="1" s="1"/>
  <c r="F49" i="1"/>
  <c r="E49" i="1"/>
  <c r="E157" i="1"/>
  <c r="E57" i="1" s="1"/>
  <c r="F157" i="1"/>
  <c r="F57" i="1" s="1"/>
  <c r="E27" i="1" l="1"/>
  <c r="E26" i="1"/>
  <c r="E20" i="1" s="1"/>
  <c r="E18" i="1" s="1"/>
  <c r="F182" i="1" l="1"/>
  <c r="E44" i="1" l="1"/>
  <c r="F44" i="1"/>
  <c r="E17" i="1" l="1"/>
  <c r="E16" i="1" s="1"/>
  <c r="F178" i="1" l="1"/>
  <c r="F17" i="1"/>
  <c r="F16" i="1" l="1"/>
  <c r="F15" i="1" s="1"/>
</calcChain>
</file>

<file path=xl/sharedStrings.xml><?xml version="1.0" encoding="utf-8"?>
<sst xmlns="http://schemas.openxmlformats.org/spreadsheetml/2006/main" count="504" uniqueCount="216">
  <si>
    <t>(наименование субъекта естественных монополий)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</si>
  <si>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</si>
  <si>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</si>
  <si>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</si>
  <si>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</si>
  <si>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</si>
  <si>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</si>
  <si>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</si>
  <si>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</si>
  <si>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</si>
  <si>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</si>
  <si>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</si>
  <si>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</si>
  <si>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</si>
  <si>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</si>
  <si>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</si>
  <si>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</si>
  <si>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</si>
  <si>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</si>
  <si>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</si>
  <si>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</si>
  <si>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</si>
  <si>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</si>
  <si>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</si>
  <si>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</si>
  <si>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</si>
  <si>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</si>
  <si>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</si>
  <si>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</si>
  <si>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</si>
  <si>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</si>
  <si>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</si>
  <si>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</si>
  <si>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</si>
  <si>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</si>
  <si>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</si>
  <si>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</si>
  <si>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</si>
  <si>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</si>
  <si>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</si>
  <si>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</si>
  <si>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</si>
  <si>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</si>
  <si>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к приказу от _____________ № ____________</t>
  </si>
  <si>
    <t>Приложение 1</t>
  </si>
  <si>
    <t>Информация об инвестиционных программах ОАО "Газпром газораспределение Воронеж" на 2018 год</t>
  </si>
  <si>
    <t>автотранспорт*</t>
  </si>
  <si>
    <t>04 кв. 2018</t>
  </si>
  <si>
    <t>Система видеонаблюдения г.Острогожск, ул.Карла Маркса,58а</t>
  </si>
  <si>
    <t>Система охранно- пожарной сигнализации и оповещения о пожаре мкр Сомово, ул. Кузнецова,11</t>
  </si>
  <si>
    <t>Склад, г. Воронеж,ул. Беговая,215</t>
  </si>
  <si>
    <t>01 кв. 2018</t>
  </si>
  <si>
    <t>1А, 2А №965-у Газопровод высокого давления от АГРС с. Ямное до котельной ВКБР в СЖР ул. Антонова-Овсеенко г. Воронеж, Инвентарный номер 01.00.0.0000065890</t>
  </si>
  <si>
    <t>67А №780-у с. Ямное, р-н Рамонский (от АГРС до Задонского шоссе) г. Воронеж, Инвентарный номер 01.00.0.0000057526</t>
  </si>
  <si>
    <t>81А №835-у/1 с. Подклетное от ГГРП-1 ул. Мазлумова, 91 до ГРП №360 г. Воронеж, Инвентарный номер 01.00.0.0000059641</t>
  </si>
  <si>
    <t>63А №549-у р.п. Придонской, ул. Киселева (от ГГРП-1 до ШРП №155) г. Воронеж, Инвентарный номер 01.00.0.0000059624</t>
  </si>
  <si>
    <t>16А №532-у Газопровод от ППТП по ул. Пирогова до ул. Космонавтов г. Воронеж, Инвентарный номер 01.00.0.0000059695</t>
  </si>
  <si>
    <t>Сооружение - ГРП ул.Свободы уч.11 п.Ясенки Бобровского района, Инвентарный номер 04.00.0.0000002271</t>
  </si>
  <si>
    <t>Газопровод и ЭЗУ   С-з Садовый, 2-е Сторожевое, Инвентарный номер 10.00.0.0000020185</t>
  </si>
  <si>
    <t>Газопровод г.Лиски ул.Монтажников, Пионерская, Фестивальная, Суворова, Ушакова, Инвентарный номер 10.00.0.0000020771</t>
  </si>
  <si>
    <t>303А-324А Газопровод среднего, высокого давления 17765,68 п/м, с-з Масловский, Инвентарный номер 02.00.0.00000096-2</t>
  </si>
  <si>
    <t>304А 302А Газопровод среднего давления 676,47 п/м  с-з Масловский, улица Ленина, ЭЗУ катодная., Инвентарный номер 02.00.0.00000099-2</t>
  </si>
  <si>
    <t>303А-324А Газопровод среднего, высокого давления 17765,68 п/м, с-з Масловский, инв.02.00.0.00000096-2</t>
  </si>
  <si>
    <t>30А №511-д 106,80 п/м, Никольское с.,6 Стрелковой дивизии ул.,1,(ПМК), Инвентарный номер 02.00.0.0000058515</t>
  </si>
  <si>
    <t>67А №266-у 1154,43 п/м, Масловка п., Новоусманский мехлесхоз, Инвентарный номер 02.00.0.0000057810</t>
  </si>
  <si>
    <t>35А №203-у Никольское с., газопровод к свинокомплексу "Никольский", Инвентарный номер 02.00.0.0000058523</t>
  </si>
  <si>
    <t>48А №298-у 1089,47 п/м, Масловка п.,совхоз "Зареченский", Инвентарный номер 02.00.0.0000057823</t>
  </si>
  <si>
    <t>46А №297-у 2290,58 п/м, Масловка п.,Масловская ул.,от д.1 до ГРП №332, Инвентарный номер 02.00.0.0000057820</t>
  </si>
  <si>
    <t>Газопровод ул.Садовая,Первомайск,Островского,с.Красноселовка,8168.31м, Инвентарный номер 28.00.0.0000000208</t>
  </si>
  <si>
    <t>Газопровод1 и ШРП № 28, Инвентарный номер 28.00.0.0000000096</t>
  </si>
  <si>
    <t xml:space="preserve">ГРП с.Репьевка Репьевский район ул.Воронежская 81-а  Инвентарный номер 00.00.0.1776      </t>
  </si>
  <si>
    <t>Газопровод высокого давления и низкого давления + ШРП №62 ул. Октябрьская г Россошь, Инвентарный номер 17.00.0.0226</t>
  </si>
  <si>
    <t>Газопровод высокого давления и низкого давления+ ШРП №62 ул. Октябрьская г Россошь, Инвентарный номер 17.00.0.0226</t>
  </si>
  <si>
    <t>Газопровод высокого давления ул. Крупской г Россошь от ГРП №1 до ГРП №2, Инвентарный номер 17.00.0.0204</t>
  </si>
  <si>
    <t>Газопровод высокого давления п.Стрелица, ЭЗУ  (36АВ333870 лит 20А от 24.03.09), Инвентарный номер 26.00.0.1069</t>
  </si>
  <si>
    <t>Газопровод низкого давления с.М.Покровка  межпоселковый (к-з "Дружба), Инвентарный номер 18.00.0.987</t>
  </si>
  <si>
    <t xml:space="preserve">Газопровод всокого давления рп.Латная от ВЛПУ г. Семилуки, Инвентарный номер 18.00.0.281      </t>
  </si>
  <si>
    <t>Газопровод высокого давления рп.Хохольский к сах. заводу, Инвентарный номер 25.00.0.0000001111</t>
  </si>
  <si>
    <t>Пожарно-охранная сигнализация г. Воронеж ,ул. Никитинская , 50а инв.№00.00.0.0000391</t>
  </si>
  <si>
    <t>Бытовое помещение,р.п. Ольховатка ,ул. Степана Разина ,1а, инв.№13.00.0.00000004-1</t>
  </si>
  <si>
    <t>Гараж г. Семилуки,ул. 25лет Октября,114, инв.№18.00.0.00001406</t>
  </si>
  <si>
    <t>Техническое здание г. Семилуки,ул. 25лет Октября,114, инв.№18.00.0.00001407</t>
  </si>
  <si>
    <t>Административное здание г.Воронеж,ул. Никитинская,50А инв.№ 00.00.0.0000008</t>
  </si>
  <si>
    <t>Административное здание г.Воронеж,ул. Беговая,215 инв.№01.00.0.0000000335</t>
  </si>
  <si>
    <t xml:space="preserve"> Гараж с. Каширское ул. Строителей,д.3</t>
  </si>
  <si>
    <t>Объекты, выполняемые по договорам о технологическом подключении (присоединении) в рамках Постановления Правительства РФ от 30.12.2013 № 1314, в том числе:</t>
  </si>
  <si>
    <t>Объекты капитального строительства - заявители с установленной платой по техприсоединению</t>
  </si>
  <si>
    <t>Объекты капитального строительства - заявители с утверждённой стандартизированной тарифной ставкой</t>
  </si>
  <si>
    <t>Объекты капитального строительства - индивидуальный проект</t>
  </si>
  <si>
    <t>Газопровод высокого давления от ГРС-1 по ул.Кемеровской, 48с  до места врезки газопровода-отвода к ГГРП №239 по ул.Любы Шевцовой в городском округе город Воронеж</t>
  </si>
  <si>
    <t>4 кв.16 г.</t>
  </si>
  <si>
    <t>Сети газораспределения на территории индивидуальной застройки восточной части города Россошь Россошанского муниципального района Воронежской области</t>
  </si>
  <si>
    <t>225,160,110,90,63</t>
  </si>
  <si>
    <t>Газораспределительные сети в  х.Куренное Подгоренского муниципального района Воронежской области</t>
  </si>
  <si>
    <t>90, 63</t>
  </si>
  <si>
    <t xml:space="preserve">3 кв.17 г. </t>
  </si>
  <si>
    <t>1 кв.18г.</t>
  </si>
  <si>
    <t>Газораспределительные сети по ул.Лесная, ул.Юбилейная, ул.Левобережная, ул.Никольская, ул.Сосновая с.Александровка Новоусманского муниципального района Воронежской области муниципального района Воронежской области</t>
  </si>
  <si>
    <t>Газопровод высокого давления с.Рождественская Хава - пос.Плясово-Снежково Новоусманского муниципального района. Газораспределительные сети от газопровода высокого давления с.Рождественская Хава - пос.Плясово - Снежково Новоусманского муниципального района Воронежской области</t>
  </si>
  <si>
    <t>Газораспределительные сети в п.Видный Таловского муниципального района Воронежской области</t>
  </si>
  <si>
    <t>Газораспределительные сети в п.Новогольский 2-й  Таловского муниципального района Воронежской области</t>
  </si>
  <si>
    <t>Газопровод высокого давления для газоснабжения мкр. Пчелка с.Новая Усмань Новоусманского муниципального района Воронежской области</t>
  </si>
  <si>
    <t>Межпоселковый газопровод до п.Гуляй Поле. Газораспределительные сети п.Гуляй Поле таловского муниципального района Воронежской области</t>
  </si>
  <si>
    <t>d225, 160, 110, 90, 63</t>
  </si>
  <si>
    <t>315, 225, 160</t>
  </si>
  <si>
    <t>4 кв.17г.</t>
  </si>
  <si>
    <t>2 кв.18г.</t>
  </si>
  <si>
    <t>3 кв.18г.</t>
  </si>
  <si>
    <t xml:space="preserve">4 кв.18 г. </t>
  </si>
  <si>
    <t>Газопровод низкого давления 1069,4п/м и ГРПШ-2а к панс.м.с.В-М ул.50ЛетОктября, Инвентарный номер.15.00.0000000464</t>
  </si>
  <si>
    <t>Газопровод 93А №802-у с.Подгорное, ул.Дружеская (Лесная ул.) от ГКО до ГКЧ+28.97 г. Воронеж, инвентарный номер 01.00.0.0000057574</t>
  </si>
  <si>
    <t>Газопровод стальной и ЭЗУ К-773 ул. 40 лет Победы, Трудовая с. Н.Криуша н/с/д под.над. инвентарный номер 08.00.0.00000341-2</t>
  </si>
  <si>
    <t>Газопровод высокого давления 10026,90 п/м с.Березки х.Поддубный (ГРП.ШРП,ЭЗУ) инв.№ 15.00.0100020840</t>
  </si>
  <si>
    <t>Газопровод н/д ул.Маяковского ( 2245м ) г.Павловск инв.№ 15.00.0000000309</t>
  </si>
  <si>
    <t>Сооружение - ГРП юго-восточная часть кадастрового квартала г. Боброва инв. № 04.00.0.0000002267</t>
  </si>
  <si>
    <t>Гараж г.Воронеж,пер.Краснознаменный,4 инв.№01.00.0.0000000604</t>
  </si>
  <si>
    <t>Система автоматической пожарной сигнализации с. Новая Усмань, ул. Ленина, д. 309</t>
  </si>
  <si>
    <t>Система видеонаблюдения г. Воронеж,ул. Конструкторов,82 инв. №01.00.0000065814</t>
  </si>
  <si>
    <t>Система видеонаблюдения г. Богучар,ул.Транспортная,46 инв. №05.00.0.А00000008</t>
  </si>
  <si>
    <t>Система видеонаблюдения г. Эртиль,ул.Горная,12 инв. №20.00.0.0010000006</t>
  </si>
  <si>
    <t>ГРП №228 Г.Сибиряков ул.,63 (ГРП стац.) г.Воронеж, инвентарный номер                 №01.00.0.0000059845</t>
  </si>
  <si>
    <t>176А  №395 ШРП с.Подгорное, ул.Дружеская (Лесная) г.Воронеж, инв. 01.00.0.0000061712</t>
  </si>
  <si>
    <t>Газопровод высокого давления + ГРП №23 ул. Первомайская с. Н.Калитва (ТОО Нива) инв. 17.00.0.0276</t>
  </si>
  <si>
    <t>4 кв.18 г.</t>
  </si>
  <si>
    <t>2 кв. 17 г.</t>
  </si>
  <si>
    <t>4 кв. 18 г.</t>
  </si>
  <si>
    <t xml:space="preserve">1 кв.18 г. </t>
  </si>
  <si>
    <t>04 кв. 2017</t>
  </si>
  <si>
    <t>02 кв. 2018</t>
  </si>
  <si>
    <t>03 кв. 2018</t>
  </si>
  <si>
    <t>01 кв. 2019</t>
  </si>
  <si>
    <t>04 кв. 2016</t>
  </si>
  <si>
    <t>03 кв. 2016</t>
  </si>
  <si>
    <t>03 кв. 2017</t>
  </si>
  <si>
    <t>газопроводы (прочие)</t>
  </si>
  <si>
    <t xml:space="preserve">Газопровод низкого давления ул. Криничная-ул.Ковыльная в г. Россошь, Россошанского раона, Воронежской области </t>
  </si>
  <si>
    <t>Газопровод высокого и низкого давления с установкой ШРП в  с.Архиповка -г.Россошь, ул. Большевик</t>
  </si>
  <si>
    <t>Газораспределительные сети в с.Нижний Бык ул.Мира Воробьевского района Воронежской области</t>
  </si>
  <si>
    <t>Межпоселковый газопровод от газопровода высокого давления с.Рождественская Хава - пос.Южный до пос.Никольское Новоусманского муниципального района. Газораспределительные сети пос.Никольское Новоусманского муниципального района Воронежской области</t>
  </si>
  <si>
    <t>Сети газораспределения на территории малоэтажной застройки с.Александровка Новоусманского муниципального района Воронежской области</t>
  </si>
  <si>
    <t>Мепоселковый газопровод до п.Еланский. Газораспределительные сети п.Еланский Новохоперского муниципального района Воронежской области</t>
  </si>
  <si>
    <t>Газораспределительные сети на территории индивидуальной жилой застройки с.Гудовка Семилукского муниципального района Воронежской области</t>
  </si>
  <si>
    <t>110, 90</t>
  </si>
  <si>
    <t>ЭХЗ на газопроводе среднего и низкого давления 75А №1011-у ул.Софьи Перовской (от ул.Чернышевского до ул.Декабристов), инв. №01.00.0.0000061094</t>
  </si>
  <si>
    <t>Межпоселковый газопровод высокого давления (1,2 МПа) от выхода ГРС Павловск (1,2 МПа) до действующего межпоселкового газопровода высокого давления 4519п/м с.Елизаветовка Павловского района Воронежской области</t>
  </si>
  <si>
    <t>Здание  Литер А,а в администативно-производственное здание с. Рудкино,ул. Советская,д.264а инв. №25.00.0.0000001417</t>
  </si>
  <si>
    <t>Гараж   с пристройкой Литер В,В1 г. Бутурлиновка ,ул. Парижской Коммуны,172а инв. №07.00.0.00000209</t>
  </si>
  <si>
    <t>Бытовое помещение г. Бутурлиновка ,ул. Парижской Коммуны,172а инв. №07.00.0.00000238</t>
  </si>
  <si>
    <t>Пожарно-охранная сигнализация   в административном здании г. Новохоперск,ул. Тимирязева,52 инв.№12.00.0.80000529</t>
  </si>
  <si>
    <t>Гараж г. Воронеж,ул. Беговая,215 инв. №01.00.0.0000008819</t>
  </si>
  <si>
    <t>Механические мастерские г. Воронеж,ул. Беговая,215 инв. №22.00.0.0000000655</t>
  </si>
  <si>
    <t>Административное здание АДС г. Семилуки,ул. 25лет Октября,114 инв.№ 18.00.0.00001411</t>
  </si>
  <si>
    <t>Административное здание г. Бутурлиновка ,ул. Парижской Коммуны,172а инв. №07.00.0.00000240</t>
  </si>
  <si>
    <t>29А №340 ШРП п.1 Мая, ул.Центральная,13 (ул.Первомайская) г.Воронеж, Инвентарный номер 01.00.0.0000062120</t>
  </si>
  <si>
    <t>1А №53 ГРП ул.303 стрелковой дивизии, 11 г.Воронеж, Инвентарный номер 01.00.0.0000057398</t>
  </si>
  <si>
    <t>1А №58 ГРП бульвар Победы, 12  г.Воронеж, Инвентарный номер 01.00.0.0000057444</t>
  </si>
  <si>
    <t>1А №323 ГРП ул.Хользунова, 94  г.Воронеж, Инвентарный номер 01.00.0.0000056854</t>
  </si>
  <si>
    <t>120А №102/2 ГРП р.п. Придонской, ул. Мазлумова, 91 г. Воронеж, Инвентарный номер 01.00.0.0000061980</t>
  </si>
  <si>
    <t>ГРП № 3 с.Тимирязево ул.Центральная  Каменский р-н, Инвентарный номер 00.00.0.0000041048</t>
  </si>
  <si>
    <t>ГРП № 1 пгт. Каменка ул.Мира; № 2 ул.30Лет Октября; № 4 ул.Ленина; №5 ул.Народная (4шт.), Инвентарный номер 00.00.0.0000041050</t>
  </si>
  <si>
    <t>Газораспределительный пункт, Рамонский р-н ВНИИСС,  п, Дорожная ул, дом № 81, корпус а , Инвентарный номер 03.00.0.100000114</t>
  </si>
  <si>
    <t xml:space="preserve">Газопровод среднего давления  с. Ендовище  ул. Мира (36АБ234280 лит 88 А,88А(1)), Инвентарный номер 18.00.0.2193     </t>
  </si>
  <si>
    <t>Газопровод низкого давления рп Хохольский ул. Вишневая,ГРП №2, Инвентарный номер 25.00.0.0000005069</t>
  </si>
  <si>
    <t>ГРП №2 с.Краснолипье  Репьевский район ул.Мира 183-а, инвентарный номер 00.00.0.627</t>
  </si>
  <si>
    <t>ГРП №1 с. Новосолдатка Репьевский район ул. Ленина, инвентарный номер 00.00.0.627</t>
  </si>
  <si>
    <t>ГРП №5 х. Прилужный Репьевский район ул. Советская, инвентарный номер 00.00.0.627</t>
  </si>
  <si>
    <t>Газораспределительные сети в х.Кирпичи Подгоренского муниципального района Воронежской области</t>
  </si>
  <si>
    <t>04 кв. 2019</t>
  </si>
  <si>
    <t>Газораспределительные сети в х.Каменка Семилукского муниципального района Воронежской области</t>
  </si>
  <si>
    <t>Газораспределительные сети в д.Долина Терновского муниципального района Воронежской области</t>
  </si>
  <si>
    <t xml:space="preserve">Газопровод среднего давления и низкого давления по ул. Независимоти от ГРПБ по ул Дружеской,38 к пер. Дроздовому, г. Воронеж </t>
  </si>
  <si>
    <t>Газопровод высокого и среднего давления с установкой ПГБ, ул. Ростовская - ул. Новосибирская, 3 г. Воронеж</t>
  </si>
  <si>
    <t>Административное здание, г. Бобров, ул. 22 Января, 1</t>
  </si>
  <si>
    <t>Склад, г. Бобров, ул. 22 Января, 1</t>
  </si>
  <si>
    <t>газопроводы, ГРП, ШРП (прочие)</t>
  </si>
  <si>
    <t xml:space="preserve">Газопровод 76А №101-у  ул.Софьи Перовской (от Тепловых сетей до ул.Декабристов), инв №01.00.0.0000061094
</t>
  </si>
  <si>
    <t>Газопровод 12А №255-у ул. 20 лет Октября до ГЭС-1 г. Воронеж, инвентарный номер 01.00.0.0000059186</t>
  </si>
  <si>
    <t>Газопровод 79А №102-у ул. Софьи Перовской г. Воронеж, инвентарный номер 01.00.0.0000061097</t>
  </si>
  <si>
    <t>426, 325</t>
  </si>
  <si>
    <t>Газопровод 2А №11-у  ул.Свободы (от ул.Пирогова до ул.Промышленной), инв.01.00.0.0000059399</t>
  </si>
  <si>
    <t>Газопровод 57А №87-у  ул.Никитинская (от ул.Карла Маркса до ул.Свободы), инв.01.00.0.0000058771</t>
  </si>
  <si>
    <t>Газопровод 18А №138-у  ул.Пирогова (от автопарка до ул.Космонавтов), инв.01.00.0.0000059698</t>
  </si>
  <si>
    <t>Газопровод 30А №230-у ул.Конструкторов (от электросети до ТТУ по ул.Пирогова), инв.01.00.0.0000059719</t>
  </si>
  <si>
    <t xml:space="preserve">Газопровод высокого давления 1А, 2А №965-у от АГРС с.Ямное до котельной ВКБР в СЖР ул.Антоново-Овсеенко г.Воронеж, инв. 01.00.0.0000065890                                                         </t>
  </si>
  <si>
    <t>Газопровод 4А №576-д  р-н Отрожка ГРП 1-й Градостроительный, инв.01.00.0.0000056226</t>
  </si>
  <si>
    <t>Газопровод 25А №771-у к котельной ВКБР (ул.Хользунова- ул.Антонова-Овсиенко), инв.01.00.0.0000056879</t>
  </si>
  <si>
    <t>Газопровод высокого давления и обвязка ГРПШ-400/2 г. Бутурлиновка - с. Патокино (до с. Красное), инв.07.00.0.0000000927</t>
  </si>
  <si>
    <t>Газопровод стальной и ЭЗУ К-529 пер.ул.Калинина, ул.Дзержинского, Заброды, Маяковского, Кирова с.Заброденская в/н/с/д под., инв. №08.00.0.0000000196</t>
  </si>
  <si>
    <t>Газопровод стальной  ШРП № 5 ,ЭЗУ К-593 ул. Маяковского с. Манино в/с/н/д под.над., инв. 08.00.0.0000000199</t>
  </si>
  <si>
    <t>Газопровод до  СУ-2 г.Лиски ул.Фестивальная, инв. 10.00.0.0000020781</t>
  </si>
  <si>
    <t>Газопровод и  ГРП - к-з Н Мир Давыдовка с.Ермоловка инв. 10.00.0.0000020185</t>
  </si>
  <si>
    <t>Газопровод и ЭЗУ   С-з Садовый, 2-е Сторожевое, инв. 10.00.0.0000020185</t>
  </si>
  <si>
    <t>Газопровод высокого давления 2А №258-у 443,71 п/м, Никольское с. з-д "Стройматериалов" инв. №02.00.0.0000058480</t>
  </si>
  <si>
    <t>Газопровод высокого давления 26А №502-д 205,75  п/м, Никольское с., 6 Стрелковой дивизии ул., к ГРП №183 инв. №02.00.0.0000058510</t>
  </si>
  <si>
    <t>Газопровод 26А №502-д 437,27 п/м, Никольское с.,6 Стрелковой дивизии ул., 4-10 инв.№02.00.0.0000058511</t>
  </si>
  <si>
    <t>Газопровод высокого давления - Воронежская обл, Богучарский р-н, Подколодновка с, Советская ул., газопровод от АГРС  до ГРП №31 инв. №28.00.0.198</t>
  </si>
  <si>
    <t xml:space="preserve"> Газопровод высокого давления от АГРС Подколодновка до  с.Толучеево, инв. №28.00.0.219                </t>
  </si>
  <si>
    <t xml:space="preserve"> Газопровод высокого и низкого давления Рамонский район, д. Богданова инв. № 03.00.0.100000122                                                         </t>
  </si>
  <si>
    <t xml:space="preserve">Газопровод низкого давления р.п.Латная ул.Ямская 32а,32,30,23,21,28,17,26,15,24  инв. номер 18.00.0.589                                                              </t>
  </si>
  <si>
    <t xml:space="preserve">Газопровод высокого давления р.п.Латная,  ул.М.Московская инв. номер 18.00.0.295 </t>
  </si>
  <si>
    <t xml:space="preserve">Газопровод высокого давления с. Землянск инв. номер 18.00.0.1738     </t>
  </si>
  <si>
    <t>Газопровод низкого давления г.Семилуки ул.Мурзы 1,3,5,7,9,11,13,26,18,20,22. инв номер 18.00.0.254</t>
  </si>
  <si>
    <t>Газопровод низкого давления г.Семилуки ул.К.Маркса-30 лет Октября, Поселковая, инв номер 18.00.0.235-1</t>
  </si>
  <si>
    <t xml:space="preserve">Газопровод низкого давления г.Семилуки ул.30 лет Октября,К.Маркса,Мурзы, инв. номер- 18.00.0.954.
</t>
  </si>
  <si>
    <t xml:space="preserve">ШРП №216 27А п.1 Мая, ул.Путейский городок, 1 г.Воронеж (инв. №01.00.0.0000062118)
</t>
  </si>
  <si>
    <t xml:space="preserve">ШРП №363 84А п.Тенистый, ул.Васильковая, 26 г.Воронеж, инв.01.00.0.0000062100 </t>
  </si>
  <si>
    <t xml:space="preserve">ШРП №364 18А жилой массив Лесная поляна, 69  г.Воронеж, инв.01.00.0.0000062236 </t>
  </si>
  <si>
    <t xml:space="preserve">ШРП №391 185А с. Подгорное, ул. Маршала Ефремова, 22 (Калинина) г.Воронеж, инв. №01.00.0.0000061721 </t>
  </si>
  <si>
    <t>ГРП №69 34А ул.Чайковского,6р г.Воронеж, инв. №01.00.0.0000060382</t>
  </si>
  <si>
    <t xml:space="preserve">ШРП № 30 ул. Партизанская,2 г. Калач, инв. 08.00.0.0000000493 </t>
  </si>
  <si>
    <t xml:space="preserve">ШРП № 3 ул. Зеленый Луг,7 с. Подгорное, инв. 08.00.0.0000000727                                          </t>
  </si>
  <si>
    <t xml:space="preserve">ШРП № 4 ул. Больничная,18 с. Подгорное, инв.08.00.0.0000000726 </t>
  </si>
  <si>
    <t xml:space="preserve">ГРП №22 г.Семилуки ул.Поселковая, инв 18.00.0.1175. </t>
  </si>
  <si>
    <t>Газопровод высокого давления с.Девица, ул. 50 лет Октября (36АБ234281 лит 112А, инв. Номер 26.00.0.1105)</t>
  </si>
  <si>
    <t>Катодная ЭЗУ ПКЗ-АР-2,0 К-730 Газопровод х. Степной, инвентарный номер 10.00.0.0000020866</t>
  </si>
  <si>
    <t>в сфере оказания услуг по транспортировке газа по газораспределительным сетям (корректировка)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</si>
</sst>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</fonts>
  <fills count="11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22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115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10" borderId="6" xfId="0" applyFont="1" applyFill="1" applyBorder="1" applyAlignment="1">
      <alignment horizontal="center" vertical="center" wrapText="1"/>
    </xf>
    <xf numFmtId="49" fontId="2" fillId="10" borderId="6" xfId="1" applyNumberFormat="1" applyFont="1" applyFill="1" applyBorder="1" applyAlignment="1" applyProtection="1">
      <alignment horizontal="center" vertical="center" wrapText="1"/>
    </xf>
    <xf numFmtId="0" fontId="2" fillId="10" borderId="2" xfId="0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center" vertical="center"/>
    </xf>
    <xf numFmtId="0" fontId="0" fillId="0" borderId="0" xfId="0" applyBorder="1"/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2" fontId="0" fillId="0" borderId="0" xfId="0" applyNumberFormat="1" applyBorder="1"/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1" fontId="2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vertical="center"/>
    </xf>
    <xf numFmtId="1" fontId="2" fillId="10" borderId="0" xfId="0" applyNumberFormat="1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1" fontId="2" fillId="10" borderId="0" xfId="0" applyNumberFormat="1" applyFont="1" applyFill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2" fillId="10" borderId="5" xfId="0" applyNumberFormat="1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wrapText="1"/>
    </xf>
    <xf numFmtId="4" fontId="2" fillId="1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wrapText="1"/>
    </xf>
    <xf numFmtId="0" fontId="2" fillId="10" borderId="6" xfId="0" applyFont="1" applyFill="1" applyBorder="1" applyAlignment="1">
      <alignment horizontal="left" wrapText="1"/>
    </xf>
    <xf numFmtId="0" fontId="2" fillId="10" borderId="6" xfId="0" applyFont="1" applyFill="1" applyBorder="1" applyAlignment="1">
      <alignment horizontal="left" vertical="top" wrapText="1"/>
    </xf>
    <xf numFmtId="4" fontId="2" fillId="10" borderId="6" xfId="0" applyNumberFormat="1" applyFont="1" applyFill="1" applyBorder="1" applyAlignment="1">
      <alignment horizontal="center" vertical="center"/>
    </xf>
    <xf numFmtId="0" fontId="2" fillId="10" borderId="6" xfId="0" applyNumberFormat="1" applyFont="1" applyFill="1" applyBorder="1" applyAlignment="1">
      <alignment wrapText="1"/>
    </xf>
    <xf numFmtId="2" fontId="2" fillId="10" borderId="6" xfId="0" applyNumberFormat="1" applyFont="1" applyFill="1" applyBorder="1" applyAlignment="1">
      <alignment wrapText="1"/>
    </xf>
    <xf numFmtId="0" fontId="2" fillId="10" borderId="2" xfId="0" applyFont="1" applyFill="1" applyBorder="1" applyAlignment="1">
      <alignment horizontal="left" wrapText="1"/>
    </xf>
    <xf numFmtId="4" fontId="2" fillId="10" borderId="2" xfId="0" applyNumberFormat="1" applyFont="1" applyFill="1" applyBorder="1" applyAlignment="1" applyProtection="1">
      <alignment horizontal="center" vertical="center"/>
      <protection locked="0"/>
    </xf>
    <xf numFmtId="4" fontId="2" fillId="1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horizontal="center" vertical="center"/>
    </xf>
    <xf numFmtId="2" fontId="2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1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tabSelected="1" zoomScaleNormal="100" zoomScaleSheetLayoutView="100" workbookViewId="0">
      <selection activeCell="L13" sqref="L13"/>
    </sheetView>
  </sheetViews>
  <sheetFormatPr defaultRowHeight="12.75" x14ac:dyDescent="0.2"/>
  <cols>
    <col min="1" max="1" width="5.85546875" style="24" customWidth="1"/>
    <col min="2" max="2" width="49.7109375" style="24" customWidth="1"/>
    <col min="3" max="4" width="9.28515625" style="24" customWidth="1"/>
    <col min="5" max="6" width="10.42578125" style="24" customWidth="1"/>
    <col min="7" max="7" width="13.85546875" style="24" customWidth="1"/>
    <col min="8" max="8" width="13.7109375" style="24" customWidth="1"/>
    <col min="9" max="9" width="14.85546875" style="24" customWidth="1"/>
    <col min="10" max="10" width="15.85546875" style="24" customWidth="1"/>
    <col min="11" max="11" width="14.42578125" style="24" customWidth="1"/>
    <col min="12" max="16384" width="9.140625" style="24"/>
  </cols>
  <sheetData>
    <row r="1" spans="1:11" s="22" customFormat="1" ht="18.75" customHeight="1" x14ac:dyDescent="0.2">
      <c r="I1" s="23" t="s">
        <v>44</v>
      </c>
    </row>
    <row r="2" spans="1:11" s="22" customFormat="1" ht="18.75" customHeight="1" x14ac:dyDescent="0.2">
      <c r="I2" s="23" t="s">
        <v>43</v>
      </c>
    </row>
    <row r="4" spans="1:11" ht="4.5" customHeight="1" x14ac:dyDescent="0.2">
      <c r="I4" s="23"/>
    </row>
    <row r="5" spans="1:11" ht="4.5" customHeight="1" x14ac:dyDescent="0.2">
      <c r="I5" s="23"/>
    </row>
    <row r="6" spans="1:11" ht="4.5" customHeight="1" x14ac:dyDescent="0.2">
      <c r="I6" s="25"/>
    </row>
    <row r="7" spans="1:11" ht="4.5" customHeight="1" x14ac:dyDescent="0.2"/>
    <row r="8" spans="1:11" s="22" customFormat="1" ht="21" customHeight="1" x14ac:dyDescent="0.2">
      <c r="A8" s="108" t="s">
        <v>45</v>
      </c>
      <c r="B8" s="108"/>
      <c r="C8" s="108"/>
      <c r="D8" s="108"/>
      <c r="E8" s="108"/>
      <c r="F8" s="108"/>
      <c r="G8" s="108"/>
      <c r="H8" s="108"/>
      <c r="I8" s="108"/>
      <c r="J8" s="2"/>
      <c r="K8" s="2"/>
    </row>
    <row r="9" spans="1:11" ht="21" customHeight="1" x14ac:dyDescent="0.2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"/>
    </row>
    <row r="10" spans="1:11" s="22" customFormat="1" ht="32.25" customHeight="1" x14ac:dyDescent="0.2">
      <c r="A10" s="108" t="s">
        <v>215</v>
      </c>
      <c r="B10" s="108"/>
      <c r="C10" s="108"/>
      <c r="D10" s="108"/>
      <c r="E10" s="108"/>
      <c r="F10" s="108"/>
      <c r="G10" s="108"/>
      <c r="H10" s="108"/>
      <c r="I10" s="108"/>
      <c r="J10" s="2"/>
      <c r="K10" s="2"/>
    </row>
    <row r="12" spans="1:11" ht="29.25" customHeight="1" x14ac:dyDescent="0.2">
      <c r="A12" s="110" t="s">
        <v>1</v>
      </c>
      <c r="B12" s="110" t="s">
        <v>2</v>
      </c>
      <c r="C12" s="112" t="s">
        <v>3</v>
      </c>
      <c r="D12" s="113"/>
      <c r="E12" s="112" t="s">
        <v>4</v>
      </c>
      <c r="F12" s="113"/>
      <c r="G12" s="112" t="s">
        <v>5</v>
      </c>
      <c r="H12" s="114"/>
      <c r="I12" s="113"/>
    </row>
    <row r="13" spans="1:11" ht="63.75" x14ac:dyDescent="0.2">
      <c r="A13" s="111"/>
      <c r="B13" s="111"/>
      <c r="C13" s="3" t="s">
        <v>6</v>
      </c>
      <c r="D13" s="3" t="s">
        <v>7</v>
      </c>
      <c r="E13" s="21" t="s">
        <v>8</v>
      </c>
      <c r="F13" s="21" t="s">
        <v>9</v>
      </c>
      <c r="G13" s="3" t="s">
        <v>10</v>
      </c>
      <c r="H13" s="3" t="s">
        <v>11</v>
      </c>
      <c r="I13" s="3" t="s">
        <v>12</v>
      </c>
      <c r="J13" s="92"/>
      <c r="K13" s="92"/>
    </row>
    <row r="14" spans="1:11" x14ac:dyDescent="0.2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</row>
    <row r="15" spans="1:11" x14ac:dyDescent="0.2">
      <c r="A15" s="4">
        <v>1</v>
      </c>
      <c r="B15" s="27" t="s">
        <v>13</v>
      </c>
      <c r="C15" s="28"/>
      <c r="D15" s="28"/>
      <c r="E15" s="29"/>
      <c r="F15" s="30">
        <f>F16+F177+F178</f>
        <v>446975.64799999993</v>
      </c>
      <c r="G15" s="28"/>
      <c r="H15" s="28"/>
      <c r="I15" s="28"/>
      <c r="J15" s="31"/>
    </row>
    <row r="16" spans="1:11" ht="25.5" x14ac:dyDescent="0.2">
      <c r="A16" s="5" t="s">
        <v>14</v>
      </c>
      <c r="B16" s="6" t="s">
        <v>15</v>
      </c>
      <c r="C16" s="28"/>
      <c r="D16" s="28"/>
      <c r="E16" s="32">
        <f>E17+E57</f>
        <v>478566.85400000005</v>
      </c>
      <c r="F16" s="32">
        <f>F17+F57</f>
        <v>332314.06799999991</v>
      </c>
      <c r="G16" s="33"/>
      <c r="H16" s="33"/>
      <c r="I16" s="33"/>
      <c r="K16" s="31"/>
    </row>
    <row r="17" spans="1:12" ht="13.5" customHeight="1" x14ac:dyDescent="0.2">
      <c r="A17" s="7" t="s">
        <v>16</v>
      </c>
      <c r="B17" s="34" t="s">
        <v>17</v>
      </c>
      <c r="C17" s="35"/>
      <c r="D17" s="35"/>
      <c r="E17" s="36">
        <f>E18+E49</f>
        <v>200771.62000000008</v>
      </c>
      <c r="F17" s="36">
        <f>F18+F49</f>
        <v>104597.7</v>
      </c>
      <c r="G17" s="35"/>
      <c r="H17" s="35"/>
      <c r="I17" s="35"/>
    </row>
    <row r="18" spans="1:12" s="40" customFormat="1" x14ac:dyDescent="0.2">
      <c r="A18" s="8"/>
      <c r="B18" s="37" t="s">
        <v>18</v>
      </c>
      <c r="C18" s="38"/>
      <c r="D18" s="38"/>
      <c r="E18" s="16">
        <f>E20+E38</f>
        <v>177704.98000000007</v>
      </c>
      <c r="F18" s="16">
        <f>F20+F38</f>
        <v>82426.23</v>
      </c>
      <c r="G18" s="39"/>
      <c r="H18" s="38"/>
      <c r="I18" s="39"/>
    </row>
    <row r="19" spans="1:12" s="40" customFormat="1" x14ac:dyDescent="0.2">
      <c r="A19" s="8"/>
      <c r="B19" s="37"/>
      <c r="C19" s="38"/>
      <c r="D19" s="38"/>
      <c r="E19" s="16"/>
      <c r="F19" s="16"/>
      <c r="G19" s="42"/>
      <c r="H19" s="38"/>
      <c r="I19" s="43"/>
    </row>
    <row r="20" spans="1:12" s="40" customFormat="1" x14ac:dyDescent="0.2">
      <c r="A20" s="8"/>
      <c r="B20" s="41" t="s">
        <v>19</v>
      </c>
      <c r="C20" s="38"/>
      <c r="D20" s="38"/>
      <c r="E20" s="16">
        <f>SUM(E21:E37)</f>
        <v>173323.13000000006</v>
      </c>
      <c r="F20" s="16">
        <f>SUM(F21:F37)</f>
        <v>80872.479999999996</v>
      </c>
      <c r="G20" s="42"/>
      <c r="H20" s="38"/>
      <c r="I20" s="43"/>
      <c r="K20" s="101"/>
    </row>
    <row r="21" spans="1:12" s="40" customFormat="1" ht="51" x14ac:dyDescent="0.2">
      <c r="A21" s="9"/>
      <c r="B21" s="44" t="s">
        <v>89</v>
      </c>
      <c r="C21" s="45" t="s">
        <v>90</v>
      </c>
      <c r="D21" s="45" t="s">
        <v>123</v>
      </c>
      <c r="E21" s="46">
        <v>32490.9</v>
      </c>
      <c r="F21" s="46">
        <v>7450.05</v>
      </c>
      <c r="G21" s="47">
        <v>3.7</v>
      </c>
      <c r="H21" s="45">
        <v>325</v>
      </c>
      <c r="I21" s="48"/>
      <c r="L21" s="102"/>
    </row>
    <row r="22" spans="1:12" s="40" customFormat="1" ht="51" x14ac:dyDescent="0.2">
      <c r="A22" s="9"/>
      <c r="B22" s="44" t="s">
        <v>91</v>
      </c>
      <c r="C22" s="45" t="s">
        <v>124</v>
      </c>
      <c r="D22" s="45" t="s">
        <v>125</v>
      </c>
      <c r="E22" s="46">
        <v>36347.800000000003</v>
      </c>
      <c r="F22" s="46">
        <v>6033.0599999999995</v>
      </c>
      <c r="G22" s="47">
        <v>20.675000000000001</v>
      </c>
      <c r="H22" s="45" t="s">
        <v>92</v>
      </c>
      <c r="I22" s="48">
        <v>10</v>
      </c>
      <c r="L22" s="102"/>
    </row>
    <row r="23" spans="1:12" s="40" customFormat="1" ht="25.5" x14ac:dyDescent="0.2">
      <c r="A23" s="9"/>
      <c r="B23" s="67" t="s">
        <v>93</v>
      </c>
      <c r="C23" s="45" t="s">
        <v>95</v>
      </c>
      <c r="D23" s="45" t="s">
        <v>96</v>
      </c>
      <c r="E23" s="46">
        <v>6242.66</v>
      </c>
      <c r="F23" s="46">
        <v>1414.8</v>
      </c>
      <c r="G23" s="47">
        <v>7</v>
      </c>
      <c r="H23" s="45" t="s">
        <v>94</v>
      </c>
      <c r="I23" s="48">
        <v>1</v>
      </c>
      <c r="L23" s="102"/>
    </row>
    <row r="24" spans="1:12" s="40" customFormat="1" ht="63.75" x14ac:dyDescent="0.2">
      <c r="A24" s="9"/>
      <c r="B24" s="67" t="s">
        <v>97</v>
      </c>
      <c r="C24" s="45" t="s">
        <v>105</v>
      </c>
      <c r="D24" s="45" t="s">
        <v>106</v>
      </c>
      <c r="E24" s="46">
        <v>9320.73</v>
      </c>
      <c r="F24" s="46">
        <v>2235.14</v>
      </c>
      <c r="G24" s="47">
        <v>5.59</v>
      </c>
      <c r="H24" s="9" t="s">
        <v>103</v>
      </c>
      <c r="I24" s="48">
        <v>1</v>
      </c>
      <c r="L24" s="102"/>
    </row>
    <row r="25" spans="1:12" s="40" customFormat="1" ht="76.5" x14ac:dyDescent="0.2">
      <c r="A25" s="9"/>
      <c r="B25" s="68" t="s">
        <v>98</v>
      </c>
      <c r="C25" s="45" t="s">
        <v>105</v>
      </c>
      <c r="D25" s="45" t="s">
        <v>106</v>
      </c>
      <c r="E25" s="46">
        <f>9763.99+2936.64</f>
        <v>12700.63</v>
      </c>
      <c r="F25" s="46">
        <f>5181.12</f>
        <v>5181.12</v>
      </c>
      <c r="G25" s="47">
        <v>7.5</v>
      </c>
      <c r="H25" s="45">
        <v>110</v>
      </c>
      <c r="I25" s="48">
        <v>2</v>
      </c>
      <c r="L25" s="102"/>
    </row>
    <row r="26" spans="1:12" s="40" customFormat="1" ht="25.5" x14ac:dyDescent="0.2">
      <c r="A26" s="9"/>
      <c r="B26" s="68" t="s">
        <v>99</v>
      </c>
      <c r="C26" s="45" t="s">
        <v>126</v>
      </c>
      <c r="D26" s="45" t="s">
        <v>123</v>
      </c>
      <c r="E26" s="46">
        <f>10255.92+666.13</f>
        <v>10922.05</v>
      </c>
      <c r="F26" s="46">
        <v>100</v>
      </c>
      <c r="G26" s="47">
        <v>2.8</v>
      </c>
      <c r="H26" s="45">
        <v>110</v>
      </c>
      <c r="I26" s="48"/>
      <c r="L26" s="102"/>
    </row>
    <row r="27" spans="1:12" s="40" customFormat="1" ht="25.5" x14ac:dyDescent="0.2">
      <c r="A27" s="9"/>
      <c r="B27" s="68" t="s">
        <v>100</v>
      </c>
      <c r="C27" s="45" t="s">
        <v>126</v>
      </c>
      <c r="D27" s="45" t="s">
        <v>123</v>
      </c>
      <c r="E27" s="46">
        <f>4078.36+877.38</f>
        <v>4955.74</v>
      </c>
      <c r="F27" s="46">
        <v>100</v>
      </c>
      <c r="G27" s="47">
        <v>1.5</v>
      </c>
      <c r="H27" s="45">
        <v>110</v>
      </c>
      <c r="I27" s="48"/>
      <c r="L27" s="102"/>
    </row>
    <row r="28" spans="1:12" s="40" customFormat="1" ht="38.25" x14ac:dyDescent="0.2">
      <c r="A28" s="9"/>
      <c r="B28" s="69" t="s">
        <v>101</v>
      </c>
      <c r="C28" s="45" t="s">
        <v>107</v>
      </c>
      <c r="D28" s="45" t="s">
        <v>107</v>
      </c>
      <c r="E28" s="46">
        <f>14547.37</f>
        <v>14547.37</v>
      </c>
      <c r="F28" s="46">
        <f>13447.37+1100</f>
        <v>14547.37</v>
      </c>
      <c r="G28" s="47">
        <v>3.141</v>
      </c>
      <c r="H28" s="45" t="s">
        <v>104</v>
      </c>
      <c r="I28" s="48"/>
      <c r="L28" s="102"/>
    </row>
    <row r="29" spans="1:12" s="40" customFormat="1" ht="38.25" x14ac:dyDescent="0.2">
      <c r="A29" s="9"/>
      <c r="B29" s="69" t="s">
        <v>102</v>
      </c>
      <c r="C29" s="45" t="s">
        <v>108</v>
      </c>
      <c r="D29" s="45" t="s">
        <v>108</v>
      </c>
      <c r="E29" s="46">
        <f>4800.53</f>
        <v>4800.53</v>
      </c>
      <c r="F29" s="46">
        <f>3277.93+1522.6</f>
        <v>4800.53</v>
      </c>
      <c r="G29" s="47">
        <v>2.5</v>
      </c>
      <c r="H29" s="45" t="s">
        <v>94</v>
      </c>
      <c r="I29" s="48">
        <v>1</v>
      </c>
      <c r="L29" s="102"/>
    </row>
    <row r="30" spans="1:12" s="40" customFormat="1" ht="25.5" x14ac:dyDescent="0.2">
      <c r="A30" s="9"/>
      <c r="B30" s="69" t="s">
        <v>137</v>
      </c>
      <c r="C30" s="45" t="s">
        <v>129</v>
      </c>
      <c r="D30" s="45" t="s">
        <v>108</v>
      </c>
      <c r="E30" s="46">
        <v>1413.13</v>
      </c>
      <c r="F30" s="46">
        <f>971.66+441.47</f>
        <v>1413.13</v>
      </c>
      <c r="G30" s="47">
        <v>0.6</v>
      </c>
      <c r="H30" s="45">
        <v>63</v>
      </c>
      <c r="I30" s="48"/>
      <c r="L30" s="102"/>
    </row>
    <row r="31" spans="1:12" s="40" customFormat="1" ht="76.5" x14ac:dyDescent="0.2">
      <c r="A31" s="9"/>
      <c r="B31" s="69" t="s">
        <v>138</v>
      </c>
      <c r="C31" s="45" t="s">
        <v>129</v>
      </c>
      <c r="D31" s="45" t="s">
        <v>108</v>
      </c>
      <c r="E31" s="46">
        <v>14108.71</v>
      </c>
      <c r="F31" s="46">
        <f>11172.07+2936.64</f>
        <v>14108.71</v>
      </c>
      <c r="G31" s="47">
        <v>8.15</v>
      </c>
      <c r="H31" s="45">
        <v>110</v>
      </c>
      <c r="I31" s="48"/>
      <c r="L31" s="102"/>
    </row>
    <row r="32" spans="1:12" s="40" customFormat="1" ht="38.25" x14ac:dyDescent="0.2">
      <c r="A32" s="9"/>
      <c r="B32" s="69" t="s">
        <v>139</v>
      </c>
      <c r="C32" s="45" t="s">
        <v>47</v>
      </c>
      <c r="D32" s="45" t="s">
        <v>108</v>
      </c>
      <c r="E32" s="46">
        <v>12412.93</v>
      </c>
      <c r="F32" s="46">
        <f>1179.84+2346.93</f>
        <v>3526.7699999999995</v>
      </c>
      <c r="G32" s="47">
        <v>8.65</v>
      </c>
      <c r="H32" s="45">
        <v>110</v>
      </c>
      <c r="I32" s="48"/>
      <c r="L32" s="102"/>
    </row>
    <row r="33" spans="1:12" s="40" customFormat="1" ht="38.25" x14ac:dyDescent="0.2">
      <c r="A33" s="9"/>
      <c r="B33" s="69" t="s">
        <v>140</v>
      </c>
      <c r="C33" s="45" t="s">
        <v>129</v>
      </c>
      <c r="D33" s="45" t="s">
        <v>108</v>
      </c>
      <c r="E33" s="46">
        <v>2261.6999999999998</v>
      </c>
      <c r="F33" s="46">
        <f>6901.85+2261.7</f>
        <v>9163.5499999999993</v>
      </c>
      <c r="G33" s="47">
        <v>6.6</v>
      </c>
      <c r="H33" s="45">
        <v>110</v>
      </c>
      <c r="I33" s="48"/>
      <c r="L33" s="102"/>
    </row>
    <row r="34" spans="1:12" s="40" customFormat="1" ht="38.25" x14ac:dyDescent="0.2">
      <c r="A34" s="9"/>
      <c r="B34" s="69" t="s">
        <v>141</v>
      </c>
      <c r="C34" s="45" t="s">
        <v>47</v>
      </c>
      <c r="D34" s="45" t="s">
        <v>108</v>
      </c>
      <c r="E34" s="46">
        <f>7131.23</f>
        <v>7131.23</v>
      </c>
      <c r="F34" s="46">
        <f>5857.63+1273.6</f>
        <v>7131.23</v>
      </c>
      <c r="G34" s="47">
        <v>2.9</v>
      </c>
      <c r="H34" s="45" t="s">
        <v>142</v>
      </c>
      <c r="I34" s="48">
        <v>1</v>
      </c>
      <c r="L34" s="102"/>
    </row>
    <row r="35" spans="1:12" s="40" customFormat="1" ht="25.5" x14ac:dyDescent="0.2">
      <c r="A35" s="9"/>
      <c r="B35" s="71" t="s">
        <v>166</v>
      </c>
      <c r="C35" s="13" t="s">
        <v>51</v>
      </c>
      <c r="D35" s="13" t="s">
        <v>167</v>
      </c>
      <c r="E35" s="96">
        <v>718.66</v>
      </c>
      <c r="F35" s="96">
        <v>718.66</v>
      </c>
      <c r="G35" s="94">
        <v>1.3</v>
      </c>
      <c r="H35" s="45" t="s">
        <v>142</v>
      </c>
      <c r="I35" s="48"/>
      <c r="L35" s="102"/>
    </row>
    <row r="36" spans="1:12" s="40" customFormat="1" ht="25.5" x14ac:dyDescent="0.2">
      <c r="A36" s="9"/>
      <c r="B36" s="71" t="s">
        <v>168</v>
      </c>
      <c r="C36" s="13" t="s">
        <v>51</v>
      </c>
      <c r="D36" s="13" t="s">
        <v>167</v>
      </c>
      <c r="E36" s="96">
        <v>1797.4700000000003</v>
      </c>
      <c r="F36" s="96">
        <v>1797.4700000000003</v>
      </c>
      <c r="G36" s="94">
        <v>8.9</v>
      </c>
      <c r="H36" s="45">
        <v>110</v>
      </c>
      <c r="I36" s="48">
        <v>3</v>
      </c>
      <c r="L36" s="102"/>
    </row>
    <row r="37" spans="1:12" s="40" customFormat="1" ht="25.5" x14ac:dyDescent="0.2">
      <c r="A37" s="9"/>
      <c r="B37" s="71" t="s">
        <v>169</v>
      </c>
      <c r="C37" s="13" t="s">
        <v>51</v>
      </c>
      <c r="D37" s="13" t="s">
        <v>167</v>
      </c>
      <c r="E37" s="96">
        <v>1150.8900000000001</v>
      </c>
      <c r="F37" s="96">
        <v>1150.8900000000001</v>
      </c>
      <c r="G37" s="94">
        <v>2.4</v>
      </c>
      <c r="H37" s="45" t="s">
        <v>142</v>
      </c>
      <c r="I37" s="48">
        <v>1</v>
      </c>
      <c r="L37" s="102"/>
    </row>
    <row r="38" spans="1:12" s="52" customFormat="1" x14ac:dyDescent="0.2">
      <c r="A38" s="44"/>
      <c r="B38" s="49" t="s">
        <v>134</v>
      </c>
      <c r="C38" s="10"/>
      <c r="D38" s="10"/>
      <c r="E38" s="16">
        <f>SUM(E39:E43)</f>
        <v>4381.8500000000004</v>
      </c>
      <c r="F38" s="16">
        <f>SUM(F42:F43)</f>
        <v>1553.75</v>
      </c>
      <c r="G38" s="10"/>
      <c r="H38" s="10"/>
      <c r="I38" s="10"/>
      <c r="J38" s="51"/>
      <c r="K38" s="51"/>
    </row>
    <row r="39" spans="1:12" s="40" customFormat="1" ht="38.25" x14ac:dyDescent="0.2">
      <c r="A39" s="9"/>
      <c r="B39" s="72" t="s">
        <v>143</v>
      </c>
      <c r="C39" s="13" t="s">
        <v>129</v>
      </c>
      <c r="D39" s="45" t="s">
        <v>108</v>
      </c>
      <c r="E39" s="78">
        <f>776.55+51.55</f>
        <v>828.09999999999991</v>
      </c>
      <c r="F39" s="78">
        <f>776.55+51.55</f>
        <v>828.09999999999991</v>
      </c>
      <c r="G39" s="94"/>
      <c r="H39" s="45"/>
      <c r="I39" s="48"/>
    </row>
    <row r="40" spans="1:12" s="40" customFormat="1" ht="38.25" x14ac:dyDescent="0.2">
      <c r="A40" s="9"/>
      <c r="B40" s="69" t="s">
        <v>170</v>
      </c>
      <c r="C40" s="13" t="s">
        <v>128</v>
      </c>
      <c r="D40" s="45" t="s">
        <v>108</v>
      </c>
      <c r="E40" s="78">
        <v>1200</v>
      </c>
      <c r="F40" s="78">
        <v>1200</v>
      </c>
      <c r="G40" s="94">
        <v>0.73</v>
      </c>
      <c r="H40" s="45">
        <v>90.159000000000006</v>
      </c>
      <c r="I40" s="48"/>
    </row>
    <row r="41" spans="1:12" s="40" customFormat="1" ht="25.5" x14ac:dyDescent="0.2">
      <c r="A41" s="9"/>
      <c r="B41" s="69" t="s">
        <v>171</v>
      </c>
      <c r="C41" s="13" t="s">
        <v>129</v>
      </c>
      <c r="D41" s="45" t="s">
        <v>108</v>
      </c>
      <c r="E41" s="78">
        <v>800</v>
      </c>
      <c r="F41" s="78">
        <v>800</v>
      </c>
      <c r="G41" s="94">
        <v>0.03</v>
      </c>
      <c r="H41" s="45">
        <v>63</v>
      </c>
      <c r="I41" s="48"/>
    </row>
    <row r="42" spans="1:12" s="52" customFormat="1" ht="25.5" x14ac:dyDescent="0.2">
      <c r="A42" s="44"/>
      <c r="B42" s="69" t="s">
        <v>135</v>
      </c>
      <c r="C42" s="13" t="s">
        <v>129</v>
      </c>
      <c r="D42" s="45" t="s">
        <v>108</v>
      </c>
      <c r="E42" s="93">
        <f>369.08</f>
        <v>369.08</v>
      </c>
      <c r="F42" s="93">
        <f>112.44+256.64</f>
        <v>369.08</v>
      </c>
      <c r="G42" s="45">
        <v>0.03</v>
      </c>
      <c r="H42" s="45">
        <v>63</v>
      </c>
      <c r="I42" s="45"/>
      <c r="J42" s="51"/>
      <c r="K42" s="51"/>
    </row>
    <row r="43" spans="1:12" s="52" customFormat="1" ht="25.5" x14ac:dyDescent="0.2">
      <c r="A43" s="44"/>
      <c r="B43" s="69" t="s">
        <v>136</v>
      </c>
      <c r="C43" s="13" t="s">
        <v>129</v>
      </c>
      <c r="D43" s="45" t="s">
        <v>108</v>
      </c>
      <c r="E43" s="93">
        <f>1184.67</f>
        <v>1184.67</v>
      </c>
      <c r="F43" s="93">
        <f>734.7+449.97</f>
        <v>1184.67</v>
      </c>
      <c r="G43" s="45">
        <v>0.16</v>
      </c>
      <c r="H43" s="45">
        <v>90</v>
      </c>
      <c r="I43" s="45"/>
      <c r="J43" s="51"/>
      <c r="K43" s="51"/>
    </row>
    <row r="44" spans="1:12" s="52" customFormat="1" ht="38.25" x14ac:dyDescent="0.2">
      <c r="A44" s="44"/>
      <c r="B44" s="49" t="s">
        <v>85</v>
      </c>
      <c r="C44" s="10"/>
      <c r="D44" s="10"/>
      <c r="E44" s="16">
        <f>E45+E46+E47</f>
        <v>216979.59999999998</v>
      </c>
      <c r="F44" s="16">
        <f>F45+F46+F47</f>
        <v>87326.97</v>
      </c>
      <c r="G44" s="10"/>
      <c r="H44" s="10"/>
      <c r="I44" s="10"/>
      <c r="J44" s="51"/>
      <c r="K44" s="51"/>
    </row>
    <row r="45" spans="1:12" s="52" customFormat="1" ht="25.5" x14ac:dyDescent="0.2">
      <c r="A45" s="44"/>
      <c r="B45" s="44" t="s">
        <v>86</v>
      </c>
      <c r="C45" s="13" t="s">
        <v>51</v>
      </c>
      <c r="D45" s="13" t="s">
        <v>47</v>
      </c>
      <c r="E45" s="70">
        <f>61601.17</f>
        <v>61601.17</v>
      </c>
      <c r="F45" s="70">
        <f>23307.97+19104.49</f>
        <v>42412.460000000006</v>
      </c>
      <c r="G45" s="80"/>
      <c r="H45" s="80"/>
      <c r="I45" s="80"/>
      <c r="J45" s="51"/>
      <c r="K45" s="51"/>
    </row>
    <row r="46" spans="1:12" s="52" customFormat="1" ht="25.5" x14ac:dyDescent="0.2">
      <c r="A46" s="44"/>
      <c r="B46" s="44" t="s">
        <v>87</v>
      </c>
      <c r="C46" s="13" t="s">
        <v>51</v>
      </c>
      <c r="D46" s="13" t="s">
        <v>47</v>
      </c>
      <c r="E46" s="70">
        <f>52047.86+7571.48</f>
        <v>59619.34</v>
      </c>
      <c r="F46" s="70">
        <f>18254.48+5695.58</f>
        <v>23950.059999999998</v>
      </c>
      <c r="G46" s="80"/>
      <c r="H46" s="80"/>
      <c r="I46" s="80"/>
      <c r="J46" s="51"/>
      <c r="K46" s="51"/>
    </row>
    <row r="47" spans="1:12" s="52" customFormat="1" ht="25.5" x14ac:dyDescent="0.2">
      <c r="A47" s="44"/>
      <c r="B47" s="44" t="s">
        <v>88</v>
      </c>
      <c r="C47" s="13" t="s">
        <v>51</v>
      </c>
      <c r="D47" s="13" t="s">
        <v>47</v>
      </c>
      <c r="E47" s="70">
        <f>78759.09+17000</f>
        <v>95759.09</v>
      </c>
      <c r="F47" s="70">
        <f>11748.96+9215.49</f>
        <v>20964.449999999997</v>
      </c>
      <c r="G47" s="80"/>
      <c r="H47" s="80"/>
      <c r="I47" s="80"/>
      <c r="J47" s="51"/>
      <c r="K47" s="51"/>
    </row>
    <row r="48" spans="1:12" s="40" customFormat="1" x14ac:dyDescent="0.2">
      <c r="A48" s="8"/>
      <c r="B48" s="37" t="s">
        <v>20</v>
      </c>
      <c r="C48" s="81"/>
      <c r="D48" s="81"/>
      <c r="E48" s="16"/>
      <c r="F48" s="16"/>
      <c r="G48" s="82"/>
      <c r="H48" s="82"/>
      <c r="I48" s="82"/>
    </row>
    <row r="49" spans="1:9" x14ac:dyDescent="0.2">
      <c r="A49" s="8"/>
      <c r="B49" s="37" t="s">
        <v>21</v>
      </c>
      <c r="C49" s="83"/>
      <c r="D49" s="38"/>
      <c r="E49" s="16">
        <f>SUM(E50:E56)</f>
        <v>23066.640000000003</v>
      </c>
      <c r="F49" s="16">
        <f>SUM(F50:F56)</f>
        <v>22171.47</v>
      </c>
      <c r="G49" s="82"/>
      <c r="H49" s="82"/>
      <c r="I49" s="82"/>
    </row>
    <row r="50" spans="1:9" x14ac:dyDescent="0.2">
      <c r="A50" s="53"/>
      <c r="B50" s="69" t="s">
        <v>84</v>
      </c>
      <c r="C50" s="13" t="s">
        <v>127</v>
      </c>
      <c r="D50" s="13" t="s">
        <v>47</v>
      </c>
      <c r="E50" s="70">
        <f>5573.06+146.92</f>
        <v>5719.9800000000005</v>
      </c>
      <c r="F50" s="70">
        <v>5455.53</v>
      </c>
      <c r="G50" s="80"/>
      <c r="H50" s="80"/>
      <c r="I50" s="80"/>
    </row>
    <row r="51" spans="1:9" ht="25.5" x14ac:dyDescent="0.2">
      <c r="A51" s="53"/>
      <c r="B51" s="69" t="s">
        <v>49</v>
      </c>
      <c r="C51" s="13" t="s">
        <v>128</v>
      </c>
      <c r="D51" s="13" t="s">
        <v>47</v>
      </c>
      <c r="E51" s="70">
        <f>99.14+19.97</f>
        <v>119.11</v>
      </c>
      <c r="F51" s="70">
        <f>83.18+19.94</f>
        <v>103.12</v>
      </c>
      <c r="G51" s="80"/>
      <c r="H51" s="80"/>
      <c r="I51" s="80"/>
    </row>
    <row r="52" spans="1:9" ht="25.5" x14ac:dyDescent="0.2">
      <c r="A52" s="53"/>
      <c r="B52" s="69" t="s">
        <v>48</v>
      </c>
      <c r="C52" s="13" t="s">
        <v>128</v>
      </c>
      <c r="D52" s="13" t="s">
        <v>47</v>
      </c>
      <c r="E52" s="70">
        <f>194.64</f>
        <v>194.64</v>
      </c>
      <c r="F52" s="70">
        <f>170.45+24.19</f>
        <v>194.64</v>
      </c>
      <c r="G52" s="80"/>
      <c r="H52" s="80"/>
      <c r="I52" s="80"/>
    </row>
    <row r="53" spans="1:9" x14ac:dyDescent="0.2">
      <c r="A53" s="53"/>
      <c r="B53" s="71" t="s">
        <v>50</v>
      </c>
      <c r="C53" s="13" t="s">
        <v>129</v>
      </c>
      <c r="D53" s="13" t="s">
        <v>130</v>
      </c>
      <c r="E53" s="70">
        <f>12804.3+203.58</f>
        <v>13007.88</v>
      </c>
      <c r="F53" s="70">
        <f>12641.44+203.58</f>
        <v>12845.02</v>
      </c>
      <c r="G53" s="80"/>
      <c r="H53" s="80"/>
      <c r="I53" s="80"/>
    </row>
    <row r="54" spans="1:9" x14ac:dyDescent="0.2">
      <c r="A54" s="53"/>
      <c r="B54" s="71" t="s">
        <v>50</v>
      </c>
      <c r="C54" s="13" t="s">
        <v>129</v>
      </c>
      <c r="D54" s="13" t="s">
        <v>47</v>
      </c>
      <c r="E54" s="70">
        <f>2389.5+189.06</f>
        <v>2578.56</v>
      </c>
      <c r="F54" s="70">
        <f>2238.26+189.06</f>
        <v>2427.3200000000002</v>
      </c>
      <c r="G54" s="80"/>
      <c r="H54" s="80"/>
      <c r="I54" s="80"/>
    </row>
    <row r="55" spans="1:9" x14ac:dyDescent="0.2">
      <c r="A55" s="53"/>
      <c r="B55" s="97" t="s">
        <v>172</v>
      </c>
      <c r="C55" s="13" t="s">
        <v>47</v>
      </c>
      <c r="D55" s="13" t="s">
        <v>47</v>
      </c>
      <c r="E55" s="98">
        <v>980.59</v>
      </c>
      <c r="F55" s="98">
        <v>980.41</v>
      </c>
      <c r="G55" s="80"/>
      <c r="H55" s="80"/>
      <c r="I55" s="80"/>
    </row>
    <row r="56" spans="1:9" x14ac:dyDescent="0.2">
      <c r="A56" s="53"/>
      <c r="B56" s="97" t="s">
        <v>173</v>
      </c>
      <c r="C56" s="13" t="s">
        <v>47</v>
      </c>
      <c r="D56" s="13" t="s">
        <v>130</v>
      </c>
      <c r="E56" s="98">
        <v>465.88</v>
      </c>
      <c r="F56" s="98">
        <v>165.43</v>
      </c>
      <c r="G56" s="80"/>
      <c r="H56" s="80"/>
      <c r="I56" s="80"/>
    </row>
    <row r="57" spans="1:9" ht="25.5" customHeight="1" x14ac:dyDescent="0.2">
      <c r="A57" s="7" t="s">
        <v>22</v>
      </c>
      <c r="B57" s="54" t="s">
        <v>23</v>
      </c>
      <c r="C57" s="35"/>
      <c r="D57" s="35"/>
      <c r="E57" s="36">
        <f>E67+E156+E157+E58</f>
        <v>277795.23399999994</v>
      </c>
      <c r="F57" s="36">
        <f>F67+F156+F157+F58</f>
        <v>227716.3679999999</v>
      </c>
      <c r="G57" s="35"/>
      <c r="H57" s="35"/>
      <c r="I57" s="35"/>
    </row>
    <row r="58" spans="1:9" s="40" customFormat="1" x14ac:dyDescent="0.2">
      <c r="A58" s="8"/>
      <c r="B58" s="41" t="s">
        <v>19</v>
      </c>
      <c r="C58" s="38"/>
      <c r="D58" s="38"/>
      <c r="E58" s="16">
        <f>SUM(E59:E66)</f>
        <v>9727.3900000000012</v>
      </c>
      <c r="F58" s="16">
        <f>SUM(F59:F66)</f>
        <v>9337.84</v>
      </c>
      <c r="G58" s="42"/>
      <c r="H58" s="38"/>
      <c r="I58" s="43"/>
    </row>
    <row r="59" spans="1:9" s="40" customFormat="1" ht="36" customHeight="1" x14ac:dyDescent="0.2">
      <c r="A59" s="5"/>
      <c r="B59" s="99" t="s">
        <v>175</v>
      </c>
      <c r="C59" s="13" t="s">
        <v>51</v>
      </c>
      <c r="D59" s="13" t="s">
        <v>129</v>
      </c>
      <c r="E59" s="93">
        <v>541.81999999999994</v>
      </c>
      <c r="F59" s="93">
        <v>541.81999999999994</v>
      </c>
      <c r="G59" s="100">
        <v>0.34899999999999998</v>
      </c>
      <c r="H59" s="100">
        <v>377</v>
      </c>
      <c r="I59" s="100"/>
    </row>
    <row r="60" spans="1:9" s="40" customFormat="1" ht="25.5" customHeight="1" x14ac:dyDescent="0.2">
      <c r="A60" s="5"/>
      <c r="B60" s="97" t="s">
        <v>176</v>
      </c>
      <c r="C60" s="13" t="s">
        <v>51</v>
      </c>
      <c r="D60" s="13" t="s">
        <v>129</v>
      </c>
      <c r="E60" s="93">
        <v>1477.69</v>
      </c>
      <c r="F60" s="93">
        <v>1477.69</v>
      </c>
      <c r="G60" s="100">
        <v>3.0910000000000002</v>
      </c>
      <c r="H60" s="103" t="s">
        <v>178</v>
      </c>
      <c r="I60" s="100"/>
    </row>
    <row r="61" spans="1:9" s="40" customFormat="1" ht="25.5" customHeight="1" x14ac:dyDescent="0.2">
      <c r="A61" s="5"/>
      <c r="B61" s="97" t="s">
        <v>177</v>
      </c>
      <c r="C61" s="13" t="s">
        <v>51</v>
      </c>
      <c r="D61" s="13" t="s">
        <v>129</v>
      </c>
      <c r="E61" s="93">
        <v>664.19</v>
      </c>
      <c r="F61" s="93">
        <v>664.19</v>
      </c>
      <c r="G61" s="100">
        <v>0.72799999999999998</v>
      </c>
      <c r="H61" s="100">
        <v>168</v>
      </c>
      <c r="I61" s="100"/>
    </row>
    <row r="62" spans="1:9" s="40" customFormat="1" ht="25.5" customHeight="1" x14ac:dyDescent="0.2">
      <c r="A62" s="5"/>
      <c r="B62" s="97" t="s">
        <v>144</v>
      </c>
      <c r="C62" s="13" t="s">
        <v>51</v>
      </c>
      <c r="D62" s="13" t="s">
        <v>129</v>
      </c>
      <c r="E62" s="93">
        <v>389.55</v>
      </c>
      <c r="F62" s="93">
        <v>389.55</v>
      </c>
      <c r="G62" s="100">
        <v>5.6000000000000001E-2</v>
      </c>
      <c r="H62" s="100">
        <v>325</v>
      </c>
      <c r="I62" s="100"/>
    </row>
    <row r="63" spans="1:9" s="40" customFormat="1" ht="25.5" customHeight="1" x14ac:dyDescent="0.2">
      <c r="A63" s="5"/>
      <c r="B63" s="97" t="s">
        <v>163</v>
      </c>
      <c r="C63" s="13" t="s">
        <v>51</v>
      </c>
      <c r="D63" s="13" t="s">
        <v>130</v>
      </c>
      <c r="E63" s="98">
        <v>4347.12</v>
      </c>
      <c r="F63" s="93">
        <f>3904.51+442.61</f>
        <v>4347.12</v>
      </c>
      <c r="G63" s="80"/>
      <c r="H63" s="80"/>
      <c r="I63" s="80"/>
    </row>
    <row r="64" spans="1:9" s="40" customFormat="1" ht="25.5" customHeight="1" x14ac:dyDescent="0.2">
      <c r="A64" s="5"/>
      <c r="B64" s="97" t="s">
        <v>164</v>
      </c>
      <c r="C64" s="13" t="s">
        <v>51</v>
      </c>
      <c r="D64" s="13" t="s">
        <v>130</v>
      </c>
      <c r="E64" s="98">
        <v>781.88</v>
      </c>
      <c r="F64" s="93">
        <f>653.98+127.9</f>
        <v>781.88</v>
      </c>
      <c r="G64" s="80"/>
      <c r="H64" s="80"/>
      <c r="I64" s="80"/>
    </row>
    <row r="65" spans="1:9" s="40" customFormat="1" ht="25.5" customHeight="1" x14ac:dyDescent="0.2">
      <c r="A65" s="5"/>
      <c r="B65" s="97" t="s">
        <v>165</v>
      </c>
      <c r="C65" s="13" t="s">
        <v>51</v>
      </c>
      <c r="D65" s="13" t="s">
        <v>130</v>
      </c>
      <c r="E65" s="98">
        <v>717.52</v>
      </c>
      <c r="F65" s="93">
        <f>589.62+127.9</f>
        <v>717.52</v>
      </c>
      <c r="G65" s="80"/>
      <c r="H65" s="80"/>
      <c r="I65" s="80"/>
    </row>
    <row r="66" spans="1:9" s="40" customFormat="1" ht="41.25" customHeight="1" x14ac:dyDescent="0.2">
      <c r="A66" s="5"/>
      <c r="B66" s="72" t="s">
        <v>144</v>
      </c>
      <c r="C66" s="13" t="s">
        <v>129</v>
      </c>
      <c r="D66" s="13" t="s">
        <v>130</v>
      </c>
      <c r="E66" s="98">
        <v>807.62</v>
      </c>
      <c r="F66" s="93">
        <v>418.07</v>
      </c>
      <c r="G66" s="80"/>
      <c r="H66" s="80"/>
      <c r="I66" s="80"/>
    </row>
    <row r="67" spans="1:9" s="55" customFormat="1" x14ac:dyDescent="0.2">
      <c r="A67" s="8"/>
      <c r="B67" s="41" t="s">
        <v>174</v>
      </c>
      <c r="C67" s="38"/>
      <c r="D67" s="38"/>
      <c r="E67" s="16">
        <f>SUM(E68:E155)</f>
        <v>111464.97999999994</v>
      </c>
      <c r="F67" s="16">
        <f>SUM(F68:F155)</f>
        <v>104931.56999999992</v>
      </c>
      <c r="G67" s="84"/>
      <c r="H67" s="84"/>
      <c r="I67" s="84"/>
    </row>
    <row r="68" spans="1:9" s="52" customFormat="1" ht="38.25" x14ac:dyDescent="0.2">
      <c r="A68" s="14"/>
      <c r="B68" s="72" t="s">
        <v>52</v>
      </c>
      <c r="C68" s="85" t="s">
        <v>127</v>
      </c>
      <c r="D68" s="13" t="s">
        <v>129</v>
      </c>
      <c r="E68" s="74">
        <v>3958.83</v>
      </c>
      <c r="F68" s="74">
        <v>3923.69</v>
      </c>
      <c r="G68" s="80"/>
      <c r="H68" s="80"/>
      <c r="I68" s="80"/>
    </row>
    <row r="69" spans="1:9" s="52" customFormat="1" ht="38.25" x14ac:dyDescent="0.2">
      <c r="A69" s="14"/>
      <c r="B69" s="72" t="s">
        <v>53</v>
      </c>
      <c r="C69" s="85" t="s">
        <v>127</v>
      </c>
      <c r="D69" s="13" t="s">
        <v>129</v>
      </c>
      <c r="E69" s="74">
        <v>726.64</v>
      </c>
      <c r="F69" s="74">
        <v>689.67</v>
      </c>
      <c r="G69" s="80"/>
      <c r="H69" s="80"/>
      <c r="I69" s="80"/>
    </row>
    <row r="70" spans="1:9" s="52" customFormat="1" ht="38.25" x14ac:dyDescent="0.2">
      <c r="A70" s="14"/>
      <c r="B70" s="72" t="s">
        <v>54</v>
      </c>
      <c r="C70" s="85" t="s">
        <v>127</v>
      </c>
      <c r="D70" s="13" t="s">
        <v>129</v>
      </c>
      <c r="E70" s="74">
        <v>1999.65</v>
      </c>
      <c r="F70" s="74">
        <v>1906</v>
      </c>
      <c r="G70" s="80"/>
      <c r="H70" s="80"/>
      <c r="I70" s="80"/>
    </row>
    <row r="71" spans="1:9" s="52" customFormat="1" ht="38.25" x14ac:dyDescent="0.2">
      <c r="A71" s="14"/>
      <c r="B71" s="72" t="s">
        <v>55</v>
      </c>
      <c r="C71" s="85" t="s">
        <v>127</v>
      </c>
      <c r="D71" s="13" t="s">
        <v>129</v>
      </c>
      <c r="E71" s="74">
        <v>256.34999999999997</v>
      </c>
      <c r="F71" s="74">
        <v>219.45</v>
      </c>
      <c r="G71" s="80"/>
      <c r="H71" s="80"/>
      <c r="I71" s="80"/>
    </row>
    <row r="72" spans="1:9" s="52" customFormat="1" ht="38.25" x14ac:dyDescent="0.2">
      <c r="A72" s="14"/>
      <c r="B72" s="72" t="s">
        <v>56</v>
      </c>
      <c r="C72" s="85" t="s">
        <v>127</v>
      </c>
      <c r="D72" s="13" t="s">
        <v>129</v>
      </c>
      <c r="E72" s="74">
        <v>3926.41</v>
      </c>
      <c r="F72" s="74">
        <v>3883.6899999999996</v>
      </c>
      <c r="G72" s="80"/>
      <c r="H72" s="80"/>
      <c r="I72" s="80"/>
    </row>
    <row r="73" spans="1:9" s="52" customFormat="1" ht="38.25" x14ac:dyDescent="0.2">
      <c r="A73" s="14"/>
      <c r="B73" s="72" t="s">
        <v>57</v>
      </c>
      <c r="C73" s="85" t="s">
        <v>127</v>
      </c>
      <c r="D73" s="13" t="s">
        <v>128</v>
      </c>
      <c r="E73" s="74">
        <v>179.75</v>
      </c>
      <c r="F73" s="74">
        <v>140.84</v>
      </c>
      <c r="G73" s="80"/>
      <c r="H73" s="80"/>
      <c r="I73" s="80"/>
    </row>
    <row r="74" spans="1:9" s="52" customFormat="1" ht="38.25" x14ac:dyDescent="0.2">
      <c r="A74" s="14"/>
      <c r="B74" s="72" t="s">
        <v>57</v>
      </c>
      <c r="C74" s="85" t="s">
        <v>127</v>
      </c>
      <c r="D74" s="13" t="s">
        <v>129</v>
      </c>
      <c r="E74" s="74">
        <v>684.46</v>
      </c>
      <c r="F74" s="74">
        <v>642.34</v>
      </c>
      <c r="G74" s="80"/>
      <c r="H74" s="80"/>
      <c r="I74" s="80"/>
    </row>
    <row r="75" spans="1:9" s="52" customFormat="1" ht="38.25" x14ac:dyDescent="0.2">
      <c r="A75" s="14"/>
      <c r="B75" s="72" t="s">
        <v>109</v>
      </c>
      <c r="C75" s="85" t="s">
        <v>127</v>
      </c>
      <c r="D75" s="13" t="s">
        <v>129</v>
      </c>
      <c r="E75" s="74">
        <v>190.74</v>
      </c>
      <c r="F75" s="74">
        <v>151.76</v>
      </c>
      <c r="G75" s="80"/>
      <c r="H75" s="80"/>
      <c r="I75" s="80"/>
    </row>
    <row r="76" spans="1:9" s="52" customFormat="1" ht="25.5" x14ac:dyDescent="0.2">
      <c r="A76" s="14"/>
      <c r="B76" s="72" t="s">
        <v>58</v>
      </c>
      <c r="C76" s="85" t="s">
        <v>127</v>
      </c>
      <c r="D76" s="13" t="s">
        <v>129</v>
      </c>
      <c r="E76" s="74">
        <v>454.41</v>
      </c>
      <c r="F76" s="74">
        <v>415.35</v>
      </c>
      <c r="G76" s="80"/>
      <c r="H76" s="80"/>
      <c r="I76" s="80"/>
    </row>
    <row r="77" spans="1:9" s="52" customFormat="1" ht="38.25" x14ac:dyDescent="0.2">
      <c r="A77" s="14"/>
      <c r="B77" s="72" t="s">
        <v>59</v>
      </c>
      <c r="C77" s="85" t="s">
        <v>127</v>
      </c>
      <c r="D77" s="13" t="s">
        <v>129</v>
      </c>
      <c r="E77" s="74">
        <v>223.92</v>
      </c>
      <c r="F77" s="74">
        <v>184.94</v>
      </c>
      <c r="G77" s="80"/>
      <c r="H77" s="80"/>
      <c r="I77" s="80"/>
    </row>
    <row r="78" spans="1:9" s="52" customFormat="1" ht="38.25" x14ac:dyDescent="0.2">
      <c r="A78" s="14"/>
      <c r="B78" s="72" t="s">
        <v>60</v>
      </c>
      <c r="C78" s="85" t="s">
        <v>127</v>
      </c>
      <c r="D78" s="13" t="s">
        <v>129</v>
      </c>
      <c r="E78" s="74">
        <v>453.87</v>
      </c>
      <c r="F78" s="74">
        <v>419.51</v>
      </c>
      <c r="G78" s="80"/>
      <c r="H78" s="80"/>
      <c r="I78" s="80"/>
    </row>
    <row r="79" spans="1:9" s="52" customFormat="1" ht="38.25" x14ac:dyDescent="0.2">
      <c r="A79" s="14"/>
      <c r="B79" s="72" t="s">
        <v>61</v>
      </c>
      <c r="C79" s="85" t="s">
        <v>127</v>
      </c>
      <c r="D79" s="13" t="s">
        <v>129</v>
      </c>
      <c r="E79" s="74">
        <v>466.39</v>
      </c>
      <c r="F79" s="74">
        <v>435.92999999999995</v>
      </c>
      <c r="G79" s="80"/>
      <c r="H79" s="80"/>
      <c r="I79" s="80"/>
    </row>
    <row r="80" spans="1:9" s="52" customFormat="1" ht="25.5" x14ac:dyDescent="0.2">
      <c r="A80" s="14"/>
      <c r="B80" s="72" t="s">
        <v>62</v>
      </c>
      <c r="C80" s="85" t="s">
        <v>127</v>
      </c>
      <c r="D80" s="13" t="s">
        <v>129</v>
      </c>
      <c r="E80" s="74">
        <v>226.69</v>
      </c>
      <c r="F80" s="74">
        <v>198.74</v>
      </c>
      <c r="G80" s="80"/>
      <c r="H80" s="80"/>
      <c r="I80" s="80"/>
    </row>
    <row r="81" spans="1:9" s="52" customFormat="1" ht="25.5" x14ac:dyDescent="0.2">
      <c r="A81" s="14"/>
      <c r="B81" s="72" t="s">
        <v>62</v>
      </c>
      <c r="C81" s="85" t="s">
        <v>127</v>
      </c>
      <c r="D81" s="13" t="s">
        <v>129</v>
      </c>
      <c r="E81" s="74">
        <v>348.53000000000003</v>
      </c>
      <c r="F81" s="74">
        <v>315.17</v>
      </c>
      <c r="G81" s="80"/>
      <c r="H81" s="80"/>
      <c r="I81" s="80"/>
    </row>
    <row r="82" spans="1:9" s="52" customFormat="1" ht="38.25" x14ac:dyDescent="0.2">
      <c r="A82" s="14"/>
      <c r="B82" s="72" t="s">
        <v>60</v>
      </c>
      <c r="C82" s="85" t="s">
        <v>127</v>
      </c>
      <c r="D82" s="13" t="s">
        <v>129</v>
      </c>
      <c r="E82" s="74">
        <v>224.94</v>
      </c>
      <c r="F82" s="74">
        <v>193.1</v>
      </c>
      <c r="G82" s="80"/>
      <c r="H82" s="80"/>
      <c r="I82" s="80"/>
    </row>
    <row r="83" spans="1:9" s="52" customFormat="1" ht="38.25" x14ac:dyDescent="0.2">
      <c r="A83" s="14"/>
      <c r="B83" s="72" t="s">
        <v>63</v>
      </c>
      <c r="C83" s="85" t="s">
        <v>127</v>
      </c>
      <c r="D83" s="13" t="s">
        <v>129</v>
      </c>
      <c r="E83" s="74">
        <v>263.77</v>
      </c>
      <c r="F83" s="74">
        <v>219.3</v>
      </c>
      <c r="G83" s="80"/>
      <c r="H83" s="80"/>
      <c r="I83" s="80"/>
    </row>
    <row r="84" spans="1:9" s="52" customFormat="1" ht="25.5" x14ac:dyDescent="0.2">
      <c r="A84" s="14"/>
      <c r="B84" s="72" t="s">
        <v>64</v>
      </c>
      <c r="C84" s="85" t="s">
        <v>127</v>
      </c>
      <c r="D84" s="13" t="s">
        <v>129</v>
      </c>
      <c r="E84" s="74">
        <v>387.28</v>
      </c>
      <c r="F84" s="74">
        <v>342.80999999999995</v>
      </c>
      <c r="G84" s="80"/>
      <c r="H84" s="80"/>
      <c r="I84" s="80"/>
    </row>
    <row r="85" spans="1:9" s="52" customFormat="1" ht="25.5" x14ac:dyDescent="0.2">
      <c r="A85" s="14"/>
      <c r="B85" s="72" t="s">
        <v>65</v>
      </c>
      <c r="C85" s="85" t="s">
        <v>127</v>
      </c>
      <c r="D85" s="13" t="s">
        <v>129</v>
      </c>
      <c r="E85" s="74">
        <v>295.15000000000003</v>
      </c>
      <c r="F85" s="74">
        <v>254.32999999999998</v>
      </c>
      <c r="G85" s="80"/>
      <c r="H85" s="80"/>
      <c r="I85" s="80"/>
    </row>
    <row r="86" spans="1:9" s="52" customFormat="1" ht="25.5" x14ac:dyDescent="0.2">
      <c r="A86" s="14"/>
      <c r="B86" s="72" t="s">
        <v>66</v>
      </c>
      <c r="C86" s="85" t="s">
        <v>127</v>
      </c>
      <c r="D86" s="13" t="s">
        <v>129</v>
      </c>
      <c r="E86" s="74">
        <v>574.85</v>
      </c>
      <c r="F86" s="74">
        <v>532.20000000000005</v>
      </c>
      <c r="G86" s="80"/>
      <c r="H86" s="80"/>
      <c r="I86" s="80"/>
    </row>
    <row r="87" spans="1:9" s="52" customFormat="1" ht="25.5" x14ac:dyDescent="0.2">
      <c r="A87" s="14"/>
      <c r="B87" s="72" t="s">
        <v>67</v>
      </c>
      <c r="C87" s="85" t="s">
        <v>127</v>
      </c>
      <c r="D87" s="13" t="s">
        <v>129</v>
      </c>
      <c r="E87" s="74">
        <v>317.32000000000005</v>
      </c>
      <c r="F87" s="74">
        <v>272.85000000000002</v>
      </c>
      <c r="G87" s="80"/>
      <c r="H87" s="80"/>
      <c r="I87" s="80"/>
    </row>
    <row r="88" spans="1:9" s="52" customFormat="1" ht="38.25" x14ac:dyDescent="0.2">
      <c r="A88" s="14"/>
      <c r="B88" s="72" t="s">
        <v>68</v>
      </c>
      <c r="C88" s="85" t="s">
        <v>127</v>
      </c>
      <c r="D88" s="13" t="s">
        <v>129</v>
      </c>
      <c r="E88" s="74">
        <v>693.19</v>
      </c>
      <c r="F88" s="74">
        <v>654.22</v>
      </c>
      <c r="G88" s="80"/>
      <c r="H88" s="80"/>
      <c r="I88" s="80"/>
    </row>
    <row r="89" spans="1:9" s="52" customFormat="1" ht="25.5" x14ac:dyDescent="0.2">
      <c r="A89" s="14"/>
      <c r="B89" s="72" t="s">
        <v>69</v>
      </c>
      <c r="C89" s="85" t="s">
        <v>127</v>
      </c>
      <c r="D89" s="13" t="s">
        <v>129</v>
      </c>
      <c r="E89" s="74">
        <v>175.92</v>
      </c>
      <c r="F89" s="74">
        <v>140.84</v>
      </c>
      <c r="G89" s="80"/>
      <c r="H89" s="80"/>
      <c r="I89" s="80"/>
    </row>
    <row r="90" spans="1:9" s="52" customFormat="1" ht="25.5" x14ac:dyDescent="0.2">
      <c r="A90" s="14"/>
      <c r="B90" s="72" t="s">
        <v>70</v>
      </c>
      <c r="C90" s="85" t="s">
        <v>127</v>
      </c>
      <c r="D90" s="13" t="s">
        <v>129</v>
      </c>
      <c r="E90" s="74">
        <v>656.3</v>
      </c>
      <c r="F90" s="74">
        <v>617.24</v>
      </c>
      <c r="G90" s="80"/>
      <c r="H90" s="80"/>
      <c r="I90" s="80"/>
    </row>
    <row r="91" spans="1:9" s="52" customFormat="1" ht="38.25" x14ac:dyDescent="0.2">
      <c r="A91" s="14"/>
      <c r="B91" s="72" t="s">
        <v>71</v>
      </c>
      <c r="C91" s="85" t="s">
        <v>127</v>
      </c>
      <c r="D91" s="13" t="s">
        <v>129</v>
      </c>
      <c r="E91" s="74">
        <v>200.57999999999998</v>
      </c>
      <c r="F91" s="74">
        <v>161.60000000000002</v>
      </c>
      <c r="G91" s="80"/>
      <c r="H91" s="80"/>
      <c r="I91" s="80"/>
    </row>
    <row r="92" spans="1:9" s="52" customFormat="1" ht="38.25" x14ac:dyDescent="0.2">
      <c r="A92" s="14"/>
      <c r="B92" s="72" t="s">
        <v>72</v>
      </c>
      <c r="C92" s="85" t="s">
        <v>127</v>
      </c>
      <c r="D92" s="13" t="s">
        <v>129</v>
      </c>
      <c r="E92" s="74">
        <v>716.07</v>
      </c>
      <c r="F92" s="74">
        <v>680.99</v>
      </c>
      <c r="G92" s="80"/>
      <c r="H92" s="80"/>
      <c r="I92" s="80"/>
    </row>
    <row r="93" spans="1:9" s="52" customFormat="1" ht="25.5" x14ac:dyDescent="0.2">
      <c r="A93" s="14"/>
      <c r="B93" s="72" t="s">
        <v>73</v>
      </c>
      <c r="C93" s="85" t="s">
        <v>127</v>
      </c>
      <c r="D93" s="13" t="s">
        <v>129</v>
      </c>
      <c r="E93" s="74">
        <v>2199.1799999999998</v>
      </c>
      <c r="F93" s="74">
        <v>2159.83</v>
      </c>
      <c r="G93" s="80"/>
      <c r="H93" s="80"/>
      <c r="I93" s="80"/>
    </row>
    <row r="94" spans="1:9" s="52" customFormat="1" ht="38.25" x14ac:dyDescent="0.2">
      <c r="A94" s="14"/>
      <c r="B94" s="72" t="s">
        <v>74</v>
      </c>
      <c r="C94" s="85" t="s">
        <v>127</v>
      </c>
      <c r="D94" s="13" t="s">
        <v>129</v>
      </c>
      <c r="E94" s="74">
        <v>351.15000000000003</v>
      </c>
      <c r="F94" s="74">
        <v>316.05</v>
      </c>
      <c r="G94" s="80"/>
      <c r="H94" s="80"/>
      <c r="I94" s="80"/>
    </row>
    <row r="95" spans="1:9" s="52" customFormat="1" ht="38.25" x14ac:dyDescent="0.2">
      <c r="A95" s="14"/>
      <c r="B95" s="72" t="s">
        <v>75</v>
      </c>
      <c r="C95" s="85" t="s">
        <v>127</v>
      </c>
      <c r="D95" s="13" t="s">
        <v>129</v>
      </c>
      <c r="E95" s="74">
        <v>637.26</v>
      </c>
      <c r="F95" s="74">
        <v>598.29999999999995</v>
      </c>
      <c r="G95" s="80"/>
      <c r="H95" s="80"/>
      <c r="I95" s="80"/>
    </row>
    <row r="96" spans="1:9" s="52" customFormat="1" ht="25.5" x14ac:dyDescent="0.2">
      <c r="A96" s="14"/>
      <c r="B96" s="72" t="s">
        <v>76</v>
      </c>
      <c r="C96" s="85" t="s">
        <v>127</v>
      </c>
      <c r="D96" s="13" t="s">
        <v>129</v>
      </c>
      <c r="E96" s="74">
        <v>501.24</v>
      </c>
      <c r="F96" s="74">
        <v>463.23</v>
      </c>
      <c r="G96" s="80"/>
      <c r="H96" s="80"/>
      <c r="I96" s="80"/>
    </row>
    <row r="97" spans="1:11" s="52" customFormat="1" ht="25.5" x14ac:dyDescent="0.2">
      <c r="A97" s="14"/>
      <c r="B97" s="72" t="s">
        <v>77</v>
      </c>
      <c r="C97" s="85" t="s">
        <v>127</v>
      </c>
      <c r="D97" s="13" t="s">
        <v>129</v>
      </c>
      <c r="E97" s="74">
        <v>1433.7</v>
      </c>
      <c r="F97" s="74">
        <v>1371.53</v>
      </c>
      <c r="G97" s="80"/>
      <c r="H97" s="80"/>
      <c r="I97" s="80"/>
    </row>
    <row r="98" spans="1:11" s="52" customFormat="1" ht="38.25" x14ac:dyDescent="0.2">
      <c r="A98" s="14"/>
      <c r="B98" s="73" t="s">
        <v>110</v>
      </c>
      <c r="C98" s="85" t="s">
        <v>127</v>
      </c>
      <c r="D98" s="13" t="s">
        <v>47</v>
      </c>
      <c r="E98" s="74">
        <v>1117.43</v>
      </c>
      <c r="F98" s="74">
        <v>1094.9000000000001</v>
      </c>
      <c r="G98" s="80"/>
      <c r="H98" s="80"/>
      <c r="I98" s="80"/>
    </row>
    <row r="99" spans="1:11" s="52" customFormat="1" ht="38.25" x14ac:dyDescent="0.2">
      <c r="A99" s="14"/>
      <c r="B99" s="72" t="s">
        <v>111</v>
      </c>
      <c r="C99" s="85" t="s">
        <v>133</v>
      </c>
      <c r="D99" s="13" t="s">
        <v>129</v>
      </c>
      <c r="E99" s="74">
        <f>772.73</f>
        <v>772.73</v>
      </c>
      <c r="F99" s="74">
        <f>651.03+121.7</f>
        <v>772.73</v>
      </c>
      <c r="G99" s="80"/>
      <c r="H99" s="80"/>
      <c r="I99" s="80"/>
    </row>
    <row r="100" spans="1:11" s="52" customFormat="1" ht="25.5" x14ac:dyDescent="0.2">
      <c r="A100" s="14"/>
      <c r="B100" s="73" t="s">
        <v>112</v>
      </c>
      <c r="C100" s="85" t="s">
        <v>127</v>
      </c>
      <c r="D100" s="13" t="s">
        <v>128</v>
      </c>
      <c r="E100" s="74">
        <v>756.76</v>
      </c>
      <c r="F100" s="74">
        <v>458.38</v>
      </c>
      <c r="G100" s="80"/>
      <c r="H100" s="80"/>
      <c r="I100" s="80"/>
    </row>
    <row r="101" spans="1:11" s="52" customFormat="1" ht="25.5" x14ac:dyDescent="0.2">
      <c r="A101" s="14"/>
      <c r="B101" s="73" t="s">
        <v>113</v>
      </c>
      <c r="C101" s="85" t="s">
        <v>128</v>
      </c>
      <c r="D101" s="13" t="s">
        <v>128</v>
      </c>
      <c r="E101" s="74">
        <v>34.43</v>
      </c>
      <c r="F101" s="74">
        <v>34.43</v>
      </c>
      <c r="G101" s="80"/>
      <c r="H101" s="80"/>
      <c r="I101" s="80"/>
    </row>
    <row r="102" spans="1:11" s="52" customFormat="1" ht="25.5" x14ac:dyDescent="0.2">
      <c r="A102" s="14"/>
      <c r="B102" s="73" t="s">
        <v>114</v>
      </c>
      <c r="C102" s="85" t="s">
        <v>128</v>
      </c>
      <c r="D102" s="13" t="s">
        <v>128</v>
      </c>
      <c r="E102" s="74">
        <f>47.03+122.6</f>
        <v>169.63</v>
      </c>
      <c r="F102" s="74">
        <f>47.03+122.6</f>
        <v>169.63</v>
      </c>
      <c r="G102" s="80"/>
      <c r="H102" s="80"/>
      <c r="I102" s="80"/>
    </row>
    <row r="103" spans="1:11" s="52" customFormat="1" ht="25.5" x14ac:dyDescent="0.2">
      <c r="A103" s="14"/>
      <c r="B103" s="15" t="s">
        <v>120</v>
      </c>
      <c r="C103" s="85" t="s">
        <v>131</v>
      </c>
      <c r="D103" s="13" t="s">
        <v>47</v>
      </c>
      <c r="E103" s="74">
        <v>952.23</v>
      </c>
      <c r="F103" s="74">
        <v>856.24</v>
      </c>
      <c r="G103" s="80"/>
      <c r="H103" s="80"/>
      <c r="I103" s="80"/>
    </row>
    <row r="104" spans="1:11" s="52" customFormat="1" ht="25.5" x14ac:dyDescent="0.2">
      <c r="A104" s="14"/>
      <c r="B104" s="72" t="s">
        <v>121</v>
      </c>
      <c r="C104" s="85" t="s">
        <v>133</v>
      </c>
      <c r="D104" s="13" t="s">
        <v>47</v>
      </c>
      <c r="E104" s="74">
        <v>5248.49</v>
      </c>
      <c r="F104" s="74">
        <v>5049.9399999999996</v>
      </c>
      <c r="G104" s="80"/>
      <c r="H104" s="80"/>
      <c r="I104" s="80"/>
    </row>
    <row r="105" spans="1:11" s="52" customFormat="1" ht="25.5" x14ac:dyDescent="0.2">
      <c r="A105" s="14"/>
      <c r="B105" s="72" t="s">
        <v>122</v>
      </c>
      <c r="C105" s="85" t="s">
        <v>127</v>
      </c>
      <c r="D105" s="13" t="s">
        <v>47</v>
      </c>
      <c r="E105" s="74">
        <v>4685.7</v>
      </c>
      <c r="F105" s="74">
        <v>4553.62</v>
      </c>
      <c r="G105" s="80"/>
      <c r="H105" s="80"/>
      <c r="I105" s="80"/>
    </row>
    <row r="106" spans="1:11" s="52" customFormat="1" ht="51" x14ac:dyDescent="0.2">
      <c r="A106" s="14"/>
      <c r="B106" s="72" t="s">
        <v>144</v>
      </c>
      <c r="C106" s="85" t="s">
        <v>129</v>
      </c>
      <c r="D106" s="13" t="s">
        <v>47</v>
      </c>
      <c r="E106" s="74">
        <v>807.62</v>
      </c>
      <c r="F106" s="74">
        <v>418.07</v>
      </c>
      <c r="G106" s="80"/>
      <c r="H106" s="80"/>
      <c r="I106" s="80"/>
    </row>
    <row r="107" spans="1:11" s="52" customFormat="1" ht="38.25" x14ac:dyDescent="0.2">
      <c r="A107" s="5"/>
      <c r="B107" s="72" t="s">
        <v>153</v>
      </c>
      <c r="C107" s="85" t="s">
        <v>129</v>
      </c>
      <c r="D107" s="13" t="s">
        <v>47</v>
      </c>
      <c r="E107" s="13">
        <f>1456.03+114.82</f>
        <v>1570.85</v>
      </c>
      <c r="F107" s="74">
        <f>1341.21+114.82</f>
        <v>1456.03</v>
      </c>
      <c r="G107" s="80"/>
      <c r="H107" s="80"/>
      <c r="I107" s="80"/>
    </row>
    <row r="108" spans="1:11" s="52" customFormat="1" ht="25.5" x14ac:dyDescent="0.2">
      <c r="A108" s="14"/>
      <c r="B108" s="72" t="s">
        <v>154</v>
      </c>
      <c r="C108" s="85" t="s">
        <v>129</v>
      </c>
      <c r="D108" s="13" t="s">
        <v>47</v>
      </c>
      <c r="E108" s="13">
        <f>1425.32+142.74</f>
        <v>1568.06</v>
      </c>
      <c r="F108" s="74">
        <f>1282.58+142.74</f>
        <v>1425.32</v>
      </c>
      <c r="G108" s="80"/>
      <c r="H108" s="80"/>
      <c r="I108" s="80"/>
      <c r="K108" s="95"/>
    </row>
    <row r="109" spans="1:11" s="52" customFormat="1" ht="25.5" x14ac:dyDescent="0.2">
      <c r="A109" s="14"/>
      <c r="B109" s="72" t="s">
        <v>155</v>
      </c>
      <c r="C109" s="85" t="s">
        <v>129</v>
      </c>
      <c r="D109" s="13" t="s">
        <v>47</v>
      </c>
      <c r="E109" s="13">
        <f>1263.62+142.74</f>
        <v>1406.36</v>
      </c>
      <c r="F109" s="74">
        <f>1120.88+142.74</f>
        <v>1263.6200000000001</v>
      </c>
      <c r="G109" s="80"/>
      <c r="H109" s="80"/>
      <c r="I109" s="80"/>
    </row>
    <row r="110" spans="1:11" s="52" customFormat="1" ht="25.5" x14ac:dyDescent="0.2">
      <c r="A110" s="14"/>
      <c r="B110" s="72" t="s">
        <v>156</v>
      </c>
      <c r="C110" s="85" t="s">
        <v>129</v>
      </c>
      <c r="D110" s="13" t="s">
        <v>47</v>
      </c>
      <c r="E110" s="13">
        <f>1273.42+146.69</f>
        <v>1420.1100000000001</v>
      </c>
      <c r="F110" s="74">
        <f>1126.73+146.69</f>
        <v>1273.42</v>
      </c>
      <c r="G110" s="80"/>
      <c r="H110" s="80"/>
      <c r="I110" s="80"/>
    </row>
    <row r="111" spans="1:11" s="52" customFormat="1" ht="25.5" x14ac:dyDescent="0.2">
      <c r="A111" s="14"/>
      <c r="B111" s="72" t="s">
        <v>157</v>
      </c>
      <c r="C111" s="85" t="s">
        <v>129</v>
      </c>
      <c r="D111" s="13" t="s">
        <v>47</v>
      </c>
      <c r="E111" s="13">
        <f>45031.59+1999.88</f>
        <v>47031.469999999994</v>
      </c>
      <c r="F111" s="74">
        <f>43031.71+1999.88</f>
        <v>45031.59</v>
      </c>
      <c r="G111" s="80"/>
      <c r="H111" s="80"/>
      <c r="I111" s="80"/>
    </row>
    <row r="112" spans="1:11" s="52" customFormat="1" ht="25.5" x14ac:dyDescent="0.2">
      <c r="A112" s="14"/>
      <c r="B112" s="72" t="s">
        <v>158</v>
      </c>
      <c r="C112" s="85" t="s">
        <v>129</v>
      </c>
      <c r="D112" s="13" t="s">
        <v>47</v>
      </c>
      <c r="E112" s="13">
        <f>2516.42+243.99</f>
        <v>2760.41</v>
      </c>
      <c r="F112" s="74">
        <f>2272.43+243.99</f>
        <v>2516.42</v>
      </c>
      <c r="G112" s="80"/>
      <c r="H112" s="80"/>
      <c r="I112" s="80"/>
    </row>
    <row r="113" spans="1:9" s="52" customFormat="1" ht="38.25" x14ac:dyDescent="0.2">
      <c r="A113" s="14"/>
      <c r="B113" s="72" t="s">
        <v>159</v>
      </c>
      <c r="C113" s="85" t="s">
        <v>129</v>
      </c>
      <c r="D113" s="13" t="s">
        <v>47</v>
      </c>
      <c r="E113" s="13">
        <f>1653.99+243.99</f>
        <v>1897.98</v>
      </c>
      <c r="F113" s="74">
        <f>1410+243.99</f>
        <v>1653.99</v>
      </c>
      <c r="G113" s="80"/>
      <c r="H113" s="80"/>
      <c r="I113" s="80"/>
    </row>
    <row r="114" spans="1:9" s="52" customFormat="1" ht="38.25" x14ac:dyDescent="0.2">
      <c r="A114" s="14"/>
      <c r="B114" s="72" t="s">
        <v>160</v>
      </c>
      <c r="C114" s="85" t="s">
        <v>129</v>
      </c>
      <c r="D114" s="13" t="s">
        <v>47</v>
      </c>
      <c r="E114" s="13">
        <f>3366.83+210.94</f>
        <v>3577.77</v>
      </c>
      <c r="F114" s="74">
        <f>3155.89+210.94</f>
        <v>3366.83</v>
      </c>
      <c r="G114" s="80"/>
      <c r="H114" s="80"/>
      <c r="I114" s="80"/>
    </row>
    <row r="115" spans="1:9" s="52" customFormat="1" ht="38.25" x14ac:dyDescent="0.2">
      <c r="A115" s="14"/>
      <c r="B115" s="72" t="s">
        <v>161</v>
      </c>
      <c r="C115" s="85" t="s">
        <v>129</v>
      </c>
      <c r="D115" s="13" t="s">
        <v>47</v>
      </c>
      <c r="E115" s="13">
        <v>1570.66</v>
      </c>
      <c r="F115" s="74">
        <v>1460.17</v>
      </c>
      <c r="G115" s="80"/>
      <c r="H115" s="80"/>
      <c r="I115" s="80"/>
    </row>
    <row r="116" spans="1:9" s="52" customFormat="1" ht="25.5" x14ac:dyDescent="0.2">
      <c r="A116" s="14"/>
      <c r="B116" s="72" t="s">
        <v>162</v>
      </c>
      <c r="C116" s="85" t="s">
        <v>129</v>
      </c>
      <c r="D116" s="13" t="s">
        <v>47</v>
      </c>
      <c r="E116" s="13">
        <f>1300.71+122.6</f>
        <v>1423.31</v>
      </c>
      <c r="F116" s="74">
        <f>1178.11+122.6</f>
        <v>1300.7099999999998</v>
      </c>
      <c r="G116" s="80"/>
      <c r="H116" s="80"/>
      <c r="I116" s="80"/>
    </row>
    <row r="117" spans="1:9" s="52" customFormat="1" ht="25.5" x14ac:dyDescent="0.2">
      <c r="A117" s="14"/>
      <c r="B117" s="72" t="s">
        <v>163</v>
      </c>
      <c r="C117" s="85" t="s">
        <v>129</v>
      </c>
      <c r="D117" s="13" t="s">
        <v>47</v>
      </c>
      <c r="E117" s="74">
        <v>4347.12</v>
      </c>
      <c r="F117" s="74">
        <v>3904.51</v>
      </c>
      <c r="G117" s="80"/>
      <c r="H117" s="80"/>
      <c r="I117" s="80"/>
    </row>
    <row r="118" spans="1:9" s="52" customFormat="1" ht="25.5" x14ac:dyDescent="0.2">
      <c r="A118" s="14"/>
      <c r="B118" s="72" t="s">
        <v>164</v>
      </c>
      <c r="C118" s="85" t="s">
        <v>129</v>
      </c>
      <c r="D118" s="13" t="s">
        <v>47</v>
      </c>
      <c r="E118" s="74">
        <v>781.88</v>
      </c>
      <c r="F118" s="74">
        <v>653.98</v>
      </c>
      <c r="G118" s="80"/>
      <c r="H118" s="80"/>
      <c r="I118" s="80"/>
    </row>
    <row r="119" spans="1:9" s="52" customFormat="1" ht="25.5" x14ac:dyDescent="0.2">
      <c r="A119" s="14"/>
      <c r="B119" s="72" t="s">
        <v>165</v>
      </c>
      <c r="C119" s="85" t="s">
        <v>129</v>
      </c>
      <c r="D119" s="13" t="s">
        <v>47</v>
      </c>
      <c r="E119" s="74">
        <v>717.52</v>
      </c>
      <c r="F119" s="74">
        <v>589.62</v>
      </c>
      <c r="G119" s="80"/>
      <c r="H119" s="80"/>
      <c r="I119" s="80"/>
    </row>
    <row r="120" spans="1:9" s="52" customFormat="1" ht="25.5" x14ac:dyDescent="0.2">
      <c r="A120" s="5"/>
      <c r="B120" s="97" t="s">
        <v>179</v>
      </c>
      <c r="C120" s="85" t="s">
        <v>47</v>
      </c>
      <c r="D120" s="13" t="s">
        <v>47</v>
      </c>
      <c r="E120" s="104">
        <v>72.260000000000005</v>
      </c>
      <c r="F120" s="104">
        <v>72.260000000000005</v>
      </c>
      <c r="G120" s="80"/>
      <c r="H120" s="80"/>
      <c r="I120" s="80"/>
    </row>
    <row r="121" spans="1:9" s="52" customFormat="1" ht="25.5" x14ac:dyDescent="0.2">
      <c r="A121" s="14"/>
      <c r="B121" s="97" t="s">
        <v>180</v>
      </c>
      <c r="C121" s="85" t="s">
        <v>47</v>
      </c>
      <c r="D121" s="13" t="s">
        <v>47</v>
      </c>
      <c r="E121" s="104">
        <v>72.260000000000005</v>
      </c>
      <c r="F121" s="104">
        <v>72.260000000000005</v>
      </c>
      <c r="G121" s="80"/>
      <c r="H121" s="80"/>
      <c r="I121" s="80"/>
    </row>
    <row r="122" spans="1:9" s="52" customFormat="1" ht="25.5" x14ac:dyDescent="0.2">
      <c r="A122" s="14"/>
      <c r="B122" s="97" t="s">
        <v>181</v>
      </c>
      <c r="C122" s="85" t="s">
        <v>47</v>
      </c>
      <c r="D122" s="13" t="s">
        <v>47</v>
      </c>
      <c r="E122" s="74">
        <v>84.04</v>
      </c>
      <c r="F122" s="74">
        <v>84.04</v>
      </c>
      <c r="G122" s="80"/>
      <c r="H122" s="80"/>
      <c r="I122" s="80"/>
    </row>
    <row r="123" spans="1:9" s="52" customFormat="1" ht="25.5" x14ac:dyDescent="0.2">
      <c r="A123" s="14"/>
      <c r="B123" s="97" t="s">
        <v>182</v>
      </c>
      <c r="C123" s="85" t="s">
        <v>47</v>
      </c>
      <c r="D123" s="13" t="s">
        <v>47</v>
      </c>
      <c r="E123" s="104">
        <v>72.260000000000005</v>
      </c>
      <c r="F123" s="104">
        <v>72.260000000000005</v>
      </c>
      <c r="G123" s="80"/>
      <c r="H123" s="80"/>
      <c r="I123" s="80"/>
    </row>
    <row r="124" spans="1:9" s="52" customFormat="1" ht="38.25" x14ac:dyDescent="0.2">
      <c r="A124" s="14"/>
      <c r="B124" s="97" t="s">
        <v>183</v>
      </c>
      <c r="C124" s="85" t="s">
        <v>47</v>
      </c>
      <c r="D124" s="13" t="s">
        <v>47</v>
      </c>
      <c r="E124" s="104">
        <v>72.260000000000005</v>
      </c>
      <c r="F124" s="104">
        <v>72.260000000000005</v>
      </c>
      <c r="G124" s="80"/>
      <c r="H124" s="80"/>
      <c r="I124" s="80"/>
    </row>
    <row r="125" spans="1:9" s="52" customFormat="1" ht="25.5" x14ac:dyDescent="0.2">
      <c r="A125" s="14"/>
      <c r="B125" s="97" t="s">
        <v>184</v>
      </c>
      <c r="C125" s="85" t="s">
        <v>47</v>
      </c>
      <c r="D125" s="13" t="s">
        <v>47</v>
      </c>
      <c r="E125" s="104">
        <v>72.260000000000005</v>
      </c>
      <c r="F125" s="104">
        <v>72.260000000000005</v>
      </c>
      <c r="G125" s="80"/>
      <c r="H125" s="80"/>
      <c r="I125" s="80"/>
    </row>
    <row r="126" spans="1:9" s="52" customFormat="1" ht="25.5" x14ac:dyDescent="0.2">
      <c r="A126" s="14"/>
      <c r="B126" s="97" t="s">
        <v>185</v>
      </c>
      <c r="C126" s="85" t="s">
        <v>47</v>
      </c>
      <c r="D126" s="13" t="s">
        <v>47</v>
      </c>
      <c r="E126" s="104">
        <v>84.04</v>
      </c>
      <c r="F126" s="104">
        <v>84.04</v>
      </c>
      <c r="G126" s="80"/>
      <c r="H126" s="80"/>
      <c r="I126" s="80"/>
    </row>
    <row r="127" spans="1:9" s="52" customFormat="1" ht="38.25" x14ac:dyDescent="0.2">
      <c r="A127" s="14"/>
      <c r="B127" s="97" t="s">
        <v>186</v>
      </c>
      <c r="C127" s="85" t="s">
        <v>47</v>
      </c>
      <c r="D127" s="13" t="s">
        <v>47</v>
      </c>
      <c r="E127" s="104">
        <v>72.260000000000005</v>
      </c>
      <c r="F127" s="104">
        <v>72.260000000000005</v>
      </c>
      <c r="G127" s="80"/>
      <c r="H127" s="80"/>
      <c r="I127" s="80"/>
    </row>
    <row r="128" spans="1:9" s="52" customFormat="1" ht="38.25" x14ac:dyDescent="0.2">
      <c r="A128" s="14"/>
      <c r="B128" s="97" t="s">
        <v>187</v>
      </c>
      <c r="C128" s="85" t="s">
        <v>47</v>
      </c>
      <c r="D128" s="13" t="s">
        <v>47</v>
      </c>
      <c r="E128" s="104">
        <v>72.260000000000005</v>
      </c>
      <c r="F128" s="104">
        <v>72.260000000000005</v>
      </c>
      <c r="G128" s="80"/>
      <c r="H128" s="80"/>
      <c r="I128" s="80"/>
    </row>
    <row r="129" spans="1:9" s="52" customFormat="1" ht="38.25" x14ac:dyDescent="0.2">
      <c r="A129" s="14"/>
      <c r="B129" s="97" t="s">
        <v>188</v>
      </c>
      <c r="C129" s="85" t="s">
        <v>47</v>
      </c>
      <c r="D129" s="13" t="s">
        <v>47</v>
      </c>
      <c r="E129" s="104">
        <v>72.260000000000005</v>
      </c>
      <c r="F129" s="104">
        <v>72.260000000000005</v>
      </c>
      <c r="G129" s="80"/>
      <c r="H129" s="80"/>
      <c r="I129" s="80"/>
    </row>
    <row r="130" spans="1:9" s="52" customFormat="1" ht="25.5" x14ac:dyDescent="0.2">
      <c r="A130" s="14"/>
      <c r="B130" s="97" t="s">
        <v>189</v>
      </c>
      <c r="C130" s="85" t="s">
        <v>47</v>
      </c>
      <c r="D130" s="13" t="s">
        <v>47</v>
      </c>
      <c r="E130" s="104">
        <v>72.260000000000005</v>
      </c>
      <c r="F130" s="104">
        <v>72.260000000000005</v>
      </c>
      <c r="G130" s="80"/>
      <c r="H130" s="80"/>
      <c r="I130" s="80"/>
    </row>
    <row r="131" spans="1:9" s="52" customFormat="1" ht="25.5" x14ac:dyDescent="0.2">
      <c r="A131" s="14"/>
      <c r="B131" s="97" t="s">
        <v>190</v>
      </c>
      <c r="C131" s="85" t="s">
        <v>47</v>
      </c>
      <c r="D131" s="13" t="s">
        <v>47</v>
      </c>
      <c r="E131" s="104">
        <v>72.260000000000005</v>
      </c>
      <c r="F131" s="104">
        <v>72.260000000000005</v>
      </c>
      <c r="G131" s="80"/>
      <c r="H131" s="80"/>
      <c r="I131" s="80"/>
    </row>
    <row r="132" spans="1:9" s="52" customFormat="1" ht="25.5" x14ac:dyDescent="0.2">
      <c r="A132" s="14"/>
      <c r="B132" s="97" t="s">
        <v>191</v>
      </c>
      <c r="C132" s="85" t="s">
        <v>47</v>
      </c>
      <c r="D132" s="13" t="s">
        <v>47</v>
      </c>
      <c r="E132" s="104">
        <v>72.260000000000005</v>
      </c>
      <c r="F132" s="104">
        <v>72.260000000000005</v>
      </c>
      <c r="G132" s="80"/>
      <c r="H132" s="80"/>
      <c r="I132" s="80"/>
    </row>
    <row r="133" spans="1:9" s="52" customFormat="1" ht="38.25" x14ac:dyDescent="0.2">
      <c r="A133" s="14"/>
      <c r="B133" s="97" t="s">
        <v>192</v>
      </c>
      <c r="C133" s="85" t="s">
        <v>47</v>
      </c>
      <c r="D133" s="13" t="s">
        <v>47</v>
      </c>
      <c r="E133" s="104">
        <v>72.260000000000005</v>
      </c>
      <c r="F133" s="104">
        <v>72.260000000000005</v>
      </c>
      <c r="G133" s="80"/>
      <c r="H133" s="80"/>
      <c r="I133" s="80"/>
    </row>
    <row r="134" spans="1:9" s="52" customFormat="1" ht="38.25" x14ac:dyDescent="0.2">
      <c r="A134" s="14"/>
      <c r="B134" s="97" t="s">
        <v>193</v>
      </c>
      <c r="C134" s="85" t="s">
        <v>47</v>
      </c>
      <c r="D134" s="13" t="s">
        <v>47</v>
      </c>
      <c r="E134" s="104">
        <v>72.260000000000005</v>
      </c>
      <c r="F134" s="104">
        <v>72.260000000000005</v>
      </c>
      <c r="G134" s="80"/>
      <c r="H134" s="80"/>
      <c r="I134" s="80"/>
    </row>
    <row r="135" spans="1:9" s="52" customFormat="1" ht="25.5" x14ac:dyDescent="0.2">
      <c r="A135" s="14"/>
      <c r="B135" s="97" t="s">
        <v>194</v>
      </c>
      <c r="C135" s="85" t="s">
        <v>47</v>
      </c>
      <c r="D135" s="13" t="s">
        <v>47</v>
      </c>
      <c r="E135" s="104">
        <v>84.04</v>
      </c>
      <c r="F135" s="104">
        <v>84.04</v>
      </c>
      <c r="G135" s="80"/>
      <c r="H135" s="80"/>
      <c r="I135" s="80"/>
    </row>
    <row r="136" spans="1:9" s="52" customFormat="1" ht="38.25" x14ac:dyDescent="0.2">
      <c r="A136" s="14"/>
      <c r="B136" s="97" t="s">
        <v>195</v>
      </c>
      <c r="C136" s="85" t="s">
        <v>47</v>
      </c>
      <c r="D136" s="13" t="s">
        <v>47</v>
      </c>
      <c r="E136" s="104">
        <v>84.04</v>
      </c>
      <c r="F136" s="104">
        <v>84.04</v>
      </c>
      <c r="G136" s="80"/>
      <c r="H136" s="80"/>
      <c r="I136" s="80"/>
    </row>
    <row r="137" spans="1:9" s="52" customFormat="1" ht="25.5" x14ac:dyDescent="0.2">
      <c r="A137" s="14"/>
      <c r="B137" s="97" t="s">
        <v>196</v>
      </c>
      <c r="C137" s="85" t="s">
        <v>47</v>
      </c>
      <c r="D137" s="13" t="s">
        <v>47</v>
      </c>
      <c r="E137" s="104">
        <v>72.260000000000005</v>
      </c>
      <c r="F137" s="104">
        <v>72.260000000000005</v>
      </c>
      <c r="G137" s="80"/>
      <c r="H137" s="80"/>
      <c r="I137" s="80"/>
    </row>
    <row r="138" spans="1:9" s="52" customFormat="1" ht="25.5" x14ac:dyDescent="0.2">
      <c r="A138" s="14"/>
      <c r="B138" s="97" t="s">
        <v>197</v>
      </c>
      <c r="C138" s="85" t="s">
        <v>47</v>
      </c>
      <c r="D138" s="13" t="s">
        <v>47</v>
      </c>
      <c r="E138" s="104">
        <v>72.260000000000005</v>
      </c>
      <c r="F138" s="104">
        <v>72.260000000000005</v>
      </c>
      <c r="G138" s="80"/>
      <c r="H138" s="80"/>
      <c r="I138" s="80"/>
    </row>
    <row r="139" spans="1:9" s="52" customFormat="1" ht="25.5" x14ac:dyDescent="0.2">
      <c r="A139" s="14"/>
      <c r="B139" s="97" t="s">
        <v>198</v>
      </c>
      <c r="C139" s="85" t="s">
        <v>47</v>
      </c>
      <c r="D139" s="13" t="s">
        <v>47</v>
      </c>
      <c r="E139" s="104">
        <v>72.260000000000005</v>
      </c>
      <c r="F139" s="104">
        <v>72.260000000000005</v>
      </c>
      <c r="G139" s="80"/>
      <c r="H139" s="80"/>
      <c r="I139" s="80"/>
    </row>
    <row r="140" spans="1:9" s="52" customFormat="1" ht="25.5" x14ac:dyDescent="0.2">
      <c r="A140" s="14"/>
      <c r="B140" s="97" t="s">
        <v>199</v>
      </c>
      <c r="C140" s="85" t="s">
        <v>47</v>
      </c>
      <c r="D140" s="13" t="s">
        <v>47</v>
      </c>
      <c r="E140" s="104">
        <v>72.260000000000005</v>
      </c>
      <c r="F140" s="104">
        <v>72.260000000000005</v>
      </c>
      <c r="G140" s="80"/>
      <c r="H140" s="80"/>
      <c r="I140" s="80"/>
    </row>
    <row r="141" spans="1:9" s="52" customFormat="1" ht="25.5" x14ac:dyDescent="0.2">
      <c r="A141" s="14"/>
      <c r="B141" s="97" t="s">
        <v>200</v>
      </c>
      <c r="C141" s="85" t="s">
        <v>47</v>
      </c>
      <c r="D141" s="13" t="s">
        <v>47</v>
      </c>
      <c r="E141" s="104">
        <v>72.260000000000005</v>
      </c>
      <c r="F141" s="104">
        <v>72.260000000000005</v>
      </c>
      <c r="G141" s="80"/>
      <c r="H141" s="80"/>
      <c r="I141" s="80"/>
    </row>
    <row r="142" spans="1:9" s="52" customFormat="1" ht="25.5" x14ac:dyDescent="0.2">
      <c r="A142" s="14"/>
      <c r="B142" s="72" t="s">
        <v>201</v>
      </c>
      <c r="C142" s="85" t="s">
        <v>47</v>
      </c>
      <c r="D142" s="13" t="s">
        <v>47</v>
      </c>
      <c r="E142" s="105">
        <v>72.260000000000005</v>
      </c>
      <c r="F142" s="105">
        <v>72.260000000000005</v>
      </c>
      <c r="G142" s="80"/>
      <c r="H142" s="80"/>
      <c r="I142" s="80"/>
    </row>
    <row r="143" spans="1:9" s="52" customFormat="1" ht="25.5" x14ac:dyDescent="0.2">
      <c r="A143" s="14"/>
      <c r="B143" s="72" t="s">
        <v>202</v>
      </c>
      <c r="C143" s="85" t="s">
        <v>47</v>
      </c>
      <c r="D143" s="13" t="s">
        <v>47</v>
      </c>
      <c r="E143" s="105">
        <v>72.260000000000005</v>
      </c>
      <c r="F143" s="105">
        <v>72.260000000000005</v>
      </c>
      <c r="G143" s="80"/>
      <c r="H143" s="80"/>
      <c r="I143" s="80"/>
    </row>
    <row r="144" spans="1:9" s="52" customFormat="1" ht="38.25" x14ac:dyDescent="0.2">
      <c r="A144" s="14"/>
      <c r="B144" s="72" t="s">
        <v>203</v>
      </c>
      <c r="C144" s="85" t="s">
        <v>47</v>
      </c>
      <c r="D144" s="13" t="s">
        <v>47</v>
      </c>
      <c r="E144" s="105">
        <v>72.260000000000005</v>
      </c>
      <c r="F144" s="105">
        <v>72.260000000000005</v>
      </c>
      <c r="G144" s="80"/>
      <c r="H144" s="80"/>
      <c r="I144" s="80"/>
    </row>
    <row r="145" spans="1:13" s="52" customFormat="1" ht="38.25" x14ac:dyDescent="0.2">
      <c r="A145" s="14"/>
      <c r="B145" s="97" t="s">
        <v>204</v>
      </c>
      <c r="C145" s="85" t="s">
        <v>47</v>
      </c>
      <c r="D145" s="13" t="s">
        <v>47</v>
      </c>
      <c r="E145" s="105">
        <v>122.6</v>
      </c>
      <c r="F145" s="105">
        <v>122.6</v>
      </c>
      <c r="G145" s="80"/>
      <c r="H145" s="80"/>
      <c r="I145" s="80"/>
    </row>
    <row r="146" spans="1:13" s="52" customFormat="1" ht="25.5" x14ac:dyDescent="0.2">
      <c r="A146" s="14"/>
      <c r="B146" s="97" t="s">
        <v>205</v>
      </c>
      <c r="C146" s="85" t="s">
        <v>47</v>
      </c>
      <c r="D146" s="13" t="s">
        <v>47</v>
      </c>
      <c r="E146" s="105">
        <v>122.6</v>
      </c>
      <c r="F146" s="105">
        <v>122.6</v>
      </c>
      <c r="G146" s="80"/>
      <c r="H146" s="80"/>
      <c r="I146" s="80"/>
    </row>
    <row r="147" spans="1:13" s="52" customFormat="1" ht="25.5" x14ac:dyDescent="0.2">
      <c r="A147" s="14"/>
      <c r="B147" s="97" t="s">
        <v>206</v>
      </c>
      <c r="C147" s="85" t="s">
        <v>47</v>
      </c>
      <c r="D147" s="13" t="s">
        <v>47</v>
      </c>
      <c r="E147" s="105">
        <v>122.6</v>
      </c>
      <c r="F147" s="105">
        <v>122.6</v>
      </c>
      <c r="G147" s="80"/>
      <c r="H147" s="80"/>
      <c r="I147" s="80"/>
    </row>
    <row r="148" spans="1:13" s="52" customFormat="1" ht="25.5" x14ac:dyDescent="0.2">
      <c r="A148" s="14"/>
      <c r="B148" s="97" t="s">
        <v>207</v>
      </c>
      <c r="C148" s="85" t="s">
        <v>47</v>
      </c>
      <c r="D148" s="13" t="s">
        <v>47</v>
      </c>
      <c r="E148" s="105">
        <v>122.6</v>
      </c>
      <c r="F148" s="105">
        <v>122.6</v>
      </c>
      <c r="G148" s="80"/>
      <c r="H148" s="80"/>
      <c r="I148" s="80"/>
    </row>
    <row r="149" spans="1:13" s="52" customFormat="1" ht="25.5" x14ac:dyDescent="0.2">
      <c r="A149" s="14"/>
      <c r="B149" s="97" t="s">
        <v>208</v>
      </c>
      <c r="C149" s="85" t="s">
        <v>47</v>
      </c>
      <c r="D149" s="13" t="s">
        <v>47</v>
      </c>
      <c r="E149" s="105">
        <v>122.6</v>
      </c>
      <c r="F149" s="105">
        <v>122.6</v>
      </c>
      <c r="G149" s="80"/>
      <c r="H149" s="80"/>
      <c r="I149" s="80"/>
    </row>
    <row r="150" spans="1:13" s="52" customFormat="1" ht="25.5" x14ac:dyDescent="0.2">
      <c r="A150" s="14"/>
      <c r="B150" s="97" t="s">
        <v>209</v>
      </c>
      <c r="C150" s="85" t="s">
        <v>47</v>
      </c>
      <c r="D150" s="13" t="s">
        <v>47</v>
      </c>
      <c r="E150" s="105">
        <v>122.6</v>
      </c>
      <c r="F150" s="105">
        <v>122.6</v>
      </c>
      <c r="G150" s="80"/>
      <c r="H150" s="80"/>
      <c r="I150" s="80"/>
    </row>
    <row r="151" spans="1:13" s="52" customFormat="1" ht="25.5" x14ac:dyDescent="0.2">
      <c r="A151" s="14"/>
      <c r="B151" s="97" t="s">
        <v>210</v>
      </c>
      <c r="C151" s="85" t="s">
        <v>47</v>
      </c>
      <c r="D151" s="13" t="s">
        <v>47</v>
      </c>
      <c r="E151" s="105">
        <v>122.6</v>
      </c>
      <c r="F151" s="105">
        <v>122.6</v>
      </c>
      <c r="G151" s="80"/>
      <c r="H151" s="80"/>
      <c r="I151" s="80"/>
    </row>
    <row r="152" spans="1:13" s="52" customFormat="1" ht="25.5" x14ac:dyDescent="0.2">
      <c r="A152" s="14"/>
      <c r="B152" s="97" t="s">
        <v>211</v>
      </c>
      <c r="C152" s="85" t="s">
        <v>47</v>
      </c>
      <c r="D152" s="13" t="s">
        <v>47</v>
      </c>
      <c r="E152" s="105">
        <v>122.6</v>
      </c>
      <c r="F152" s="105">
        <v>122.6</v>
      </c>
      <c r="G152" s="80"/>
      <c r="H152" s="80"/>
      <c r="I152" s="80"/>
    </row>
    <row r="153" spans="1:13" s="52" customFormat="1" x14ac:dyDescent="0.2">
      <c r="A153" s="14"/>
      <c r="B153" s="72" t="s">
        <v>212</v>
      </c>
      <c r="C153" s="85" t="s">
        <v>47</v>
      </c>
      <c r="D153" s="13" t="s">
        <v>47</v>
      </c>
      <c r="E153" s="105">
        <v>122.6</v>
      </c>
      <c r="F153" s="105">
        <v>122.6</v>
      </c>
      <c r="G153" s="80"/>
      <c r="H153" s="80"/>
      <c r="I153" s="80"/>
    </row>
    <row r="154" spans="1:13" s="52" customFormat="1" ht="25.5" x14ac:dyDescent="0.2">
      <c r="A154" s="14"/>
      <c r="B154" s="97" t="s">
        <v>213</v>
      </c>
      <c r="C154" s="85" t="s">
        <v>47</v>
      </c>
      <c r="D154" s="13" t="s">
        <v>47</v>
      </c>
      <c r="E154" s="105">
        <v>122.6</v>
      </c>
      <c r="F154" s="105">
        <v>122.6</v>
      </c>
      <c r="G154" s="80"/>
      <c r="H154" s="80"/>
      <c r="I154" s="80"/>
    </row>
    <row r="155" spans="1:13" s="52" customFormat="1" ht="25.5" x14ac:dyDescent="0.2">
      <c r="A155" s="14"/>
      <c r="B155" s="71" t="s">
        <v>214</v>
      </c>
      <c r="C155" s="85" t="s">
        <v>47</v>
      </c>
      <c r="D155" s="13" t="s">
        <v>47</v>
      </c>
      <c r="E155" s="105">
        <v>42.3</v>
      </c>
      <c r="F155" s="105">
        <v>42.3</v>
      </c>
      <c r="G155" s="80"/>
      <c r="H155" s="80"/>
      <c r="I155" s="80"/>
    </row>
    <row r="156" spans="1:13" s="40" customFormat="1" x14ac:dyDescent="0.2">
      <c r="A156" s="8"/>
      <c r="B156" s="37" t="s">
        <v>20</v>
      </c>
      <c r="C156" s="82"/>
      <c r="D156" s="82"/>
      <c r="E156" s="16">
        <f>19000+1500</f>
        <v>20500</v>
      </c>
      <c r="F156" s="16">
        <f>17500+1500</f>
        <v>19000</v>
      </c>
      <c r="G156" s="82"/>
      <c r="H156" s="82"/>
      <c r="I156" s="82"/>
    </row>
    <row r="157" spans="1:13" ht="14.25" customHeight="1" x14ac:dyDescent="0.2">
      <c r="A157" s="8"/>
      <c r="B157" s="37" t="s">
        <v>21</v>
      </c>
      <c r="C157" s="38"/>
      <c r="D157" s="38"/>
      <c r="E157" s="16">
        <f>SUM(E158:E176)</f>
        <v>136102.864</v>
      </c>
      <c r="F157" s="16">
        <f>SUM(F158:F176)</f>
        <v>94446.957999999984</v>
      </c>
      <c r="G157" s="82"/>
      <c r="H157" s="82"/>
      <c r="I157" s="82"/>
      <c r="J157" s="50"/>
      <c r="K157" s="50"/>
    </row>
    <row r="158" spans="1:13" ht="25.5" x14ac:dyDescent="0.2">
      <c r="A158" s="14"/>
      <c r="B158" s="75" t="s">
        <v>83</v>
      </c>
      <c r="C158" s="86" t="s">
        <v>131</v>
      </c>
      <c r="D158" s="85" t="s">
        <v>47</v>
      </c>
      <c r="E158" s="78">
        <f>54726.04*0.8</f>
        <v>43780.832000000002</v>
      </c>
      <c r="F158" s="70">
        <f>18897.23*0.8</f>
        <v>15117.784</v>
      </c>
      <c r="G158" s="80"/>
      <c r="H158" s="80"/>
      <c r="I158" s="80"/>
      <c r="J158" s="50"/>
      <c r="K158" s="50"/>
      <c r="M158" s="31"/>
    </row>
    <row r="159" spans="1:13" s="52" customFormat="1" ht="25.5" x14ac:dyDescent="0.2">
      <c r="A159" s="14"/>
      <c r="B159" s="69" t="s">
        <v>115</v>
      </c>
      <c r="C159" s="86" t="s">
        <v>132</v>
      </c>
      <c r="D159" s="85" t="s">
        <v>47</v>
      </c>
      <c r="E159" s="74">
        <f>20192.42*0.8</f>
        <v>16153.936</v>
      </c>
      <c r="F159" s="74">
        <v>0</v>
      </c>
      <c r="G159" s="80"/>
      <c r="H159" s="80"/>
      <c r="I159" s="80"/>
      <c r="J159" s="56"/>
      <c r="K159" s="51"/>
      <c r="M159" s="31"/>
    </row>
    <row r="160" spans="1:13" s="52" customFormat="1" ht="25.5" x14ac:dyDescent="0.2">
      <c r="A160" s="14"/>
      <c r="B160" s="77" t="s">
        <v>78</v>
      </c>
      <c r="C160" s="86" t="s">
        <v>128</v>
      </c>
      <c r="D160" s="85" t="s">
        <v>47</v>
      </c>
      <c r="E160" s="78">
        <f>523.5*0.8</f>
        <v>418.8</v>
      </c>
      <c r="F160" s="78">
        <f>479.25*0.8</f>
        <v>383.40000000000003</v>
      </c>
      <c r="G160" s="80"/>
      <c r="H160" s="80"/>
      <c r="I160" s="80"/>
      <c r="J160" s="51"/>
      <c r="K160" s="51"/>
      <c r="M160" s="31"/>
    </row>
    <row r="161" spans="1:13" s="52" customFormat="1" ht="25.5" x14ac:dyDescent="0.2">
      <c r="A161" s="14"/>
      <c r="B161" s="77" t="s">
        <v>79</v>
      </c>
      <c r="C161" s="86" t="s">
        <v>128</v>
      </c>
      <c r="D161" s="85" t="s">
        <v>47</v>
      </c>
      <c r="E161" s="78">
        <f>166.38*0.8</f>
        <v>133.10400000000001</v>
      </c>
      <c r="F161" s="78">
        <f>143.93*0.8</f>
        <v>115.14400000000001</v>
      </c>
      <c r="G161" s="80"/>
      <c r="H161" s="80"/>
      <c r="I161" s="80"/>
      <c r="J161" s="51"/>
      <c r="K161" s="51"/>
      <c r="M161" s="31"/>
    </row>
    <row r="162" spans="1:13" s="52" customFormat="1" ht="25.5" x14ac:dyDescent="0.2">
      <c r="A162" s="14"/>
      <c r="B162" s="77" t="s">
        <v>80</v>
      </c>
      <c r="C162" s="86" t="s">
        <v>128</v>
      </c>
      <c r="D162" s="85" t="s">
        <v>47</v>
      </c>
      <c r="E162" s="78">
        <f>408.84*0.8</f>
        <v>327.072</v>
      </c>
      <c r="F162" s="78">
        <f>376.92*0.8</f>
        <v>301.536</v>
      </c>
      <c r="G162" s="80"/>
      <c r="H162" s="80"/>
      <c r="I162" s="80"/>
      <c r="J162" s="51"/>
      <c r="K162" s="51"/>
      <c r="M162" s="31"/>
    </row>
    <row r="163" spans="1:13" s="52" customFormat="1" ht="25.5" x14ac:dyDescent="0.2">
      <c r="A163" s="14"/>
      <c r="B163" s="77" t="s">
        <v>81</v>
      </c>
      <c r="C163" s="86" t="s">
        <v>128</v>
      </c>
      <c r="D163" s="85" t="s">
        <v>47</v>
      </c>
      <c r="E163" s="78">
        <v>468.63</v>
      </c>
      <c r="F163" s="78">
        <v>428.72</v>
      </c>
      <c r="G163" s="80"/>
      <c r="H163" s="80"/>
      <c r="I163" s="80"/>
      <c r="J163" s="51"/>
      <c r="K163" s="51"/>
      <c r="M163" s="31"/>
    </row>
    <row r="164" spans="1:13" s="52" customFormat="1" ht="25.5" x14ac:dyDescent="0.2">
      <c r="A164" s="14"/>
      <c r="B164" s="69" t="s">
        <v>82</v>
      </c>
      <c r="C164" s="86" t="s">
        <v>133</v>
      </c>
      <c r="D164" s="85" t="s">
        <v>47</v>
      </c>
      <c r="E164" s="78">
        <f>863.11*0.8</f>
        <v>690.48800000000006</v>
      </c>
      <c r="F164" s="78">
        <f>757.19*0.8</f>
        <v>605.75200000000007</v>
      </c>
      <c r="G164" s="80"/>
      <c r="H164" s="80"/>
      <c r="I164" s="80"/>
      <c r="J164" s="51"/>
      <c r="K164" s="51"/>
      <c r="M164" s="31"/>
    </row>
    <row r="165" spans="1:13" ht="25.5" x14ac:dyDescent="0.2">
      <c r="A165" s="9"/>
      <c r="B165" s="76" t="s">
        <v>116</v>
      </c>
      <c r="C165" s="86" t="s">
        <v>131</v>
      </c>
      <c r="D165" s="85" t="s">
        <v>47</v>
      </c>
      <c r="E165" s="79">
        <v>610.44000000000005</v>
      </c>
      <c r="F165" s="70">
        <v>249.83</v>
      </c>
      <c r="G165" s="80"/>
      <c r="H165" s="80"/>
      <c r="I165" s="80"/>
      <c r="J165" s="50"/>
      <c r="K165" s="50"/>
      <c r="M165" s="31"/>
    </row>
    <row r="166" spans="1:13" ht="25.5" x14ac:dyDescent="0.2">
      <c r="A166" s="9"/>
      <c r="B166" s="71" t="s">
        <v>117</v>
      </c>
      <c r="C166" s="86" t="s">
        <v>131</v>
      </c>
      <c r="D166" s="85" t="s">
        <v>47</v>
      </c>
      <c r="E166" s="79">
        <f>73.32*0.8</f>
        <v>58.655999999999999</v>
      </c>
      <c r="F166" s="70">
        <f>58.32*0.8</f>
        <v>46.656000000000006</v>
      </c>
      <c r="G166" s="80"/>
      <c r="H166" s="80"/>
      <c r="I166" s="80"/>
      <c r="J166" s="50"/>
      <c r="K166" s="50"/>
      <c r="M166" s="31"/>
    </row>
    <row r="167" spans="1:13" ht="25.5" x14ac:dyDescent="0.2">
      <c r="A167" s="9"/>
      <c r="B167" s="71" t="s">
        <v>118</v>
      </c>
      <c r="C167" s="86" t="s">
        <v>131</v>
      </c>
      <c r="D167" s="85" t="s">
        <v>47</v>
      </c>
      <c r="E167" s="79">
        <v>334.38</v>
      </c>
      <c r="F167" s="70">
        <v>294.38</v>
      </c>
      <c r="G167" s="80"/>
      <c r="H167" s="80"/>
      <c r="I167" s="80"/>
      <c r="J167" s="50"/>
      <c r="K167" s="50"/>
      <c r="M167" s="31"/>
    </row>
    <row r="168" spans="1:13" ht="25.5" x14ac:dyDescent="0.2">
      <c r="A168" s="9"/>
      <c r="B168" s="71" t="s">
        <v>119</v>
      </c>
      <c r="C168" s="86" t="s">
        <v>131</v>
      </c>
      <c r="D168" s="85" t="s">
        <v>47</v>
      </c>
      <c r="E168" s="79">
        <f>87.38*0.8</f>
        <v>69.903999999999996</v>
      </c>
      <c r="F168" s="70">
        <f>72.38*0.8</f>
        <v>57.903999999999996</v>
      </c>
      <c r="G168" s="80"/>
      <c r="H168" s="80"/>
      <c r="I168" s="80"/>
      <c r="J168" s="50"/>
      <c r="K168" s="50"/>
      <c r="M168" s="31"/>
    </row>
    <row r="169" spans="1:13" ht="38.25" x14ac:dyDescent="0.2">
      <c r="A169" s="9"/>
      <c r="B169" s="77" t="s">
        <v>145</v>
      </c>
      <c r="C169" s="86" t="s">
        <v>129</v>
      </c>
      <c r="D169" s="85" t="s">
        <v>130</v>
      </c>
      <c r="E169" s="79">
        <v>7464.9499999999989</v>
      </c>
      <c r="F169" s="70">
        <v>6871.1399999999994</v>
      </c>
      <c r="G169" s="80"/>
      <c r="H169" s="80"/>
      <c r="I169" s="80"/>
      <c r="J169" s="50"/>
      <c r="K169" s="50"/>
      <c r="M169" s="31"/>
    </row>
    <row r="170" spans="1:13" ht="25.5" x14ac:dyDescent="0.2">
      <c r="A170" s="9"/>
      <c r="B170" s="77" t="s">
        <v>146</v>
      </c>
      <c r="C170" s="86" t="s">
        <v>129</v>
      </c>
      <c r="D170" s="85" t="s">
        <v>47</v>
      </c>
      <c r="E170" s="79">
        <v>13614.39</v>
      </c>
      <c r="F170" s="70">
        <v>13519.59</v>
      </c>
      <c r="G170" s="80"/>
      <c r="H170" s="80"/>
      <c r="I170" s="80"/>
      <c r="J170" s="50"/>
      <c r="K170" s="50"/>
      <c r="M170" s="31"/>
    </row>
    <row r="171" spans="1:13" ht="25.5" x14ac:dyDescent="0.2">
      <c r="A171" s="9"/>
      <c r="B171" s="77" t="s">
        <v>147</v>
      </c>
      <c r="C171" s="86" t="s">
        <v>129</v>
      </c>
      <c r="D171" s="85" t="s">
        <v>47</v>
      </c>
      <c r="E171" s="79">
        <v>2321.8900000000003</v>
      </c>
      <c r="F171" s="70">
        <v>2167.5500000000002</v>
      </c>
      <c r="G171" s="80"/>
      <c r="H171" s="80"/>
      <c r="I171" s="80"/>
      <c r="J171" s="50"/>
      <c r="K171" s="50"/>
      <c r="M171" s="31"/>
    </row>
    <row r="172" spans="1:13" ht="38.25" x14ac:dyDescent="0.2">
      <c r="A172" s="9"/>
      <c r="B172" s="77" t="s">
        <v>148</v>
      </c>
      <c r="C172" s="86" t="s">
        <v>129</v>
      </c>
      <c r="D172" s="85" t="s">
        <v>47</v>
      </c>
      <c r="E172" s="79">
        <f>1283.63*0.8</f>
        <v>1026.9040000000002</v>
      </c>
      <c r="F172" s="70">
        <f>1168.78*0.8</f>
        <v>935.024</v>
      </c>
      <c r="G172" s="80"/>
      <c r="H172" s="80"/>
      <c r="I172" s="80"/>
      <c r="J172" s="50"/>
      <c r="K172" s="50"/>
      <c r="M172" s="31"/>
    </row>
    <row r="173" spans="1:13" x14ac:dyDescent="0.2">
      <c r="A173" s="9"/>
      <c r="B173" s="71" t="s">
        <v>149</v>
      </c>
      <c r="C173" s="86" t="s">
        <v>129</v>
      </c>
      <c r="D173" s="85" t="s">
        <v>130</v>
      </c>
      <c r="E173" s="79">
        <f>21981.27*0.8</f>
        <v>17585.016</v>
      </c>
      <c r="F173" s="70">
        <f>21835*0.8</f>
        <v>17468</v>
      </c>
      <c r="G173" s="80"/>
      <c r="H173" s="80"/>
      <c r="I173" s="80"/>
      <c r="J173" s="50"/>
      <c r="K173" s="50"/>
      <c r="M173" s="31"/>
    </row>
    <row r="174" spans="1:13" ht="25.5" x14ac:dyDescent="0.2">
      <c r="A174" s="9"/>
      <c r="B174" s="71" t="s">
        <v>150</v>
      </c>
      <c r="C174" s="86" t="s">
        <v>129</v>
      </c>
      <c r="D174" s="85" t="s">
        <v>130</v>
      </c>
      <c r="E174" s="79">
        <f>12146.49*0.8</f>
        <v>9717.1920000000009</v>
      </c>
      <c r="F174" s="70">
        <f>12060.8*0.8</f>
        <v>9648.64</v>
      </c>
      <c r="G174" s="80"/>
      <c r="H174" s="80"/>
      <c r="I174" s="80"/>
      <c r="J174" s="50"/>
      <c r="K174" s="50"/>
      <c r="M174" s="31"/>
    </row>
    <row r="175" spans="1:13" ht="25.5" x14ac:dyDescent="0.2">
      <c r="A175" s="9"/>
      <c r="B175" s="71" t="s">
        <v>151</v>
      </c>
      <c r="C175" s="86" t="s">
        <v>129</v>
      </c>
      <c r="D175" s="85" t="s">
        <v>130</v>
      </c>
      <c r="E175" s="79">
        <v>9536.6</v>
      </c>
      <c r="F175" s="70">
        <v>9058.5</v>
      </c>
      <c r="G175" s="80"/>
      <c r="H175" s="80"/>
      <c r="I175" s="80"/>
      <c r="J175" s="50"/>
      <c r="K175" s="50"/>
      <c r="M175" s="31"/>
    </row>
    <row r="176" spans="1:13" ht="25.5" x14ac:dyDescent="0.2">
      <c r="A176" s="9"/>
      <c r="B176" s="71" t="s">
        <v>152</v>
      </c>
      <c r="C176" s="86" t="s">
        <v>129</v>
      </c>
      <c r="D176" s="85" t="s">
        <v>130</v>
      </c>
      <c r="E176" s="79">
        <f>14737.1*0.8</f>
        <v>11789.68</v>
      </c>
      <c r="F176" s="70">
        <f>21471.76*0.8</f>
        <v>17177.407999999999</v>
      </c>
      <c r="G176" s="80"/>
      <c r="H176" s="80"/>
      <c r="I176" s="80"/>
      <c r="J176" s="50"/>
      <c r="K176" s="50"/>
      <c r="M176" s="31"/>
    </row>
    <row r="177" spans="1:11" x14ac:dyDescent="0.2">
      <c r="A177" s="7" t="s">
        <v>24</v>
      </c>
      <c r="B177" s="35" t="s">
        <v>25</v>
      </c>
      <c r="C177" s="87"/>
      <c r="D177" s="87"/>
      <c r="E177" s="88"/>
      <c r="F177" s="88"/>
      <c r="G177" s="87"/>
      <c r="H177" s="87"/>
      <c r="I177" s="87"/>
      <c r="J177" s="50"/>
    </row>
    <row r="178" spans="1:11" x14ac:dyDescent="0.2">
      <c r="A178" s="7" t="s">
        <v>26</v>
      </c>
      <c r="B178" s="34" t="s">
        <v>27</v>
      </c>
      <c r="C178" s="87"/>
      <c r="D178" s="87"/>
      <c r="E178" s="89"/>
      <c r="F178" s="36">
        <f>SUM(F179:F183)</f>
        <v>114661.58</v>
      </c>
      <c r="G178" s="87"/>
      <c r="H178" s="87"/>
      <c r="I178" s="87"/>
    </row>
    <row r="179" spans="1:11" x14ac:dyDescent="0.2">
      <c r="A179" s="5" t="s">
        <v>28</v>
      </c>
      <c r="B179" s="57" t="s">
        <v>29</v>
      </c>
      <c r="C179" s="80"/>
      <c r="D179" s="80"/>
      <c r="E179" s="90"/>
      <c r="F179" s="91"/>
      <c r="G179" s="80"/>
      <c r="H179" s="80"/>
      <c r="I179" s="80"/>
    </row>
    <row r="180" spans="1:11" x14ac:dyDescent="0.2">
      <c r="A180" s="5" t="s">
        <v>30</v>
      </c>
      <c r="B180" s="57" t="s">
        <v>31</v>
      </c>
      <c r="C180" s="80"/>
      <c r="D180" s="80"/>
      <c r="E180" s="90"/>
      <c r="F180" s="58"/>
      <c r="G180" s="80"/>
      <c r="H180" s="80"/>
      <c r="I180" s="80"/>
    </row>
    <row r="181" spans="1:11" x14ac:dyDescent="0.2">
      <c r="A181" s="5" t="s">
        <v>32</v>
      </c>
      <c r="B181" s="57" t="s">
        <v>46</v>
      </c>
      <c r="C181" s="80"/>
      <c r="D181" s="80"/>
      <c r="E181" s="90"/>
      <c r="F181" s="58">
        <v>84633.4</v>
      </c>
      <c r="G181" s="80"/>
      <c r="H181" s="80"/>
      <c r="I181" s="80"/>
    </row>
    <row r="182" spans="1:11" x14ac:dyDescent="0.2">
      <c r="A182" s="5" t="s">
        <v>33</v>
      </c>
      <c r="B182" s="57" t="s">
        <v>34</v>
      </c>
      <c r="C182" s="80"/>
      <c r="D182" s="80"/>
      <c r="E182" s="90"/>
      <c r="F182" s="58">
        <f>577.19+4786.5</f>
        <v>5363.6900000000005</v>
      </c>
      <c r="G182" s="80"/>
      <c r="H182" s="80"/>
      <c r="I182" s="80"/>
    </row>
    <row r="183" spans="1:11" x14ac:dyDescent="0.2">
      <c r="A183" s="5" t="s">
        <v>35</v>
      </c>
      <c r="B183" s="57" t="s">
        <v>36</v>
      </c>
      <c r="C183" s="80"/>
      <c r="D183" s="80"/>
      <c r="E183" s="90"/>
      <c r="F183" s="58">
        <v>24664.49</v>
      </c>
      <c r="G183" s="80"/>
      <c r="H183" s="80"/>
      <c r="I183" s="80"/>
    </row>
    <row r="184" spans="1:11" x14ac:dyDescent="0.2">
      <c r="A184" s="11"/>
      <c r="B184" s="59"/>
      <c r="C184" s="60"/>
      <c r="D184" s="60"/>
      <c r="E184" s="60"/>
      <c r="F184" s="61"/>
      <c r="G184" s="60"/>
      <c r="H184" s="60"/>
      <c r="I184" s="60"/>
    </row>
    <row r="185" spans="1:11" s="62" customFormat="1" ht="17.25" customHeight="1" x14ac:dyDescent="0.2">
      <c r="A185" s="106" t="s">
        <v>37</v>
      </c>
      <c r="B185" s="106"/>
      <c r="C185" s="106"/>
      <c r="D185" s="106"/>
      <c r="E185" s="106"/>
      <c r="F185" s="106"/>
      <c r="G185" s="106"/>
      <c r="H185" s="106"/>
      <c r="I185" s="106"/>
    </row>
    <row r="186" spans="1:11" s="63" customFormat="1" ht="15.75" x14ac:dyDescent="0.2">
      <c r="A186" s="63" t="s">
        <v>38</v>
      </c>
      <c r="B186" s="12"/>
      <c r="C186" s="12"/>
      <c r="D186" s="12"/>
      <c r="E186" s="12"/>
    </row>
    <row r="187" spans="1:11" s="63" customFormat="1" ht="28.5" customHeight="1" x14ac:dyDescent="0.2">
      <c r="A187" s="107" t="s">
        <v>39</v>
      </c>
      <c r="B187" s="107"/>
      <c r="C187" s="107"/>
      <c r="D187" s="107"/>
      <c r="E187" s="107"/>
      <c r="F187" s="107"/>
      <c r="G187" s="107"/>
      <c r="H187" s="107"/>
      <c r="I187" s="107"/>
    </row>
    <row r="188" spans="1:11" s="63" customFormat="1" ht="33.75" customHeight="1" x14ac:dyDescent="0.2">
      <c r="A188" s="107" t="s">
        <v>40</v>
      </c>
      <c r="B188" s="107"/>
      <c r="C188" s="107"/>
      <c r="D188" s="107"/>
      <c r="E188" s="107"/>
      <c r="F188" s="107"/>
      <c r="G188" s="107"/>
      <c r="H188" s="107"/>
      <c r="I188" s="107"/>
      <c r="J188" s="64"/>
      <c r="K188" s="64"/>
    </row>
    <row r="189" spans="1:11" s="63" customFormat="1" ht="32.25" customHeight="1" x14ac:dyDescent="0.2">
      <c r="A189" s="107" t="s">
        <v>41</v>
      </c>
      <c r="B189" s="107"/>
      <c r="C189" s="107"/>
      <c r="D189" s="107"/>
      <c r="E189" s="107"/>
      <c r="F189" s="107"/>
      <c r="G189" s="107"/>
      <c r="H189" s="107"/>
      <c r="I189" s="107"/>
    </row>
    <row r="190" spans="1:11" s="63" customFormat="1" ht="36" customHeight="1" x14ac:dyDescent="0.2">
      <c r="A190" s="107" t="s">
        <v>42</v>
      </c>
      <c r="B190" s="107"/>
      <c r="C190" s="107"/>
      <c r="D190" s="107"/>
      <c r="E190" s="107"/>
      <c r="F190" s="107"/>
      <c r="G190" s="107"/>
      <c r="H190" s="107"/>
      <c r="I190" s="107"/>
      <c r="J190" s="64"/>
      <c r="K190" s="64"/>
    </row>
    <row r="191" spans="1:11" s="63" customFormat="1" ht="26.25" customHeight="1" x14ac:dyDescent="0.2">
      <c r="A191" s="65"/>
      <c r="B191" s="65"/>
      <c r="C191" s="65"/>
      <c r="D191" s="65"/>
      <c r="E191" s="65"/>
      <c r="F191" s="65"/>
      <c r="G191" s="65"/>
      <c r="H191" s="65"/>
      <c r="I191" s="65"/>
      <c r="J191" s="64"/>
      <c r="K191" s="64"/>
    </row>
    <row r="192" spans="1:11" ht="25.5" customHeight="1" x14ac:dyDescent="0.2">
      <c r="A192" s="22"/>
      <c r="B192" s="63"/>
      <c r="C192" s="22"/>
      <c r="D192" s="22"/>
      <c r="E192" s="22"/>
      <c r="F192" s="22"/>
      <c r="G192" s="22"/>
      <c r="H192" s="63"/>
      <c r="I192" s="22"/>
    </row>
    <row r="193" spans="5:5" ht="21.75" customHeight="1" x14ac:dyDescent="0.2">
      <c r="E193" s="31"/>
    </row>
    <row r="198" spans="5:5" ht="15.75" x14ac:dyDescent="0.2">
      <c r="E198" s="66"/>
    </row>
  </sheetData>
  <mergeCells count="13">
    <mergeCell ref="A8:I8"/>
    <mergeCell ref="A9:I9"/>
    <mergeCell ref="A10:I10"/>
    <mergeCell ref="A12:A13"/>
    <mergeCell ref="B12:B13"/>
    <mergeCell ref="C12:D12"/>
    <mergeCell ref="E12:F12"/>
    <mergeCell ref="G12:I12"/>
    <mergeCell ref="A185:I185"/>
    <mergeCell ref="A187:I187"/>
    <mergeCell ref="A188:I188"/>
    <mergeCell ref="A189:I189"/>
    <mergeCell ref="A190:I190"/>
  </mergeCells>
  <pageMargins left="0.98425196850393704" right="0.59055118110236227" top="0.59055118110236227" bottom="0.78740157480314965" header="0" footer="0"/>
  <pageSetup paperSize="9" scale="63" fitToHeight="0" orientation="portrait" r:id="rId1"/>
  <headerFooter scaleWithDoc="0" alignWithMargins="0">
    <evenHeader>&amp;R&amp;"Times New Roman,обычный"&amp;14 6</evenHeader>
  </headerFooter>
  <rowBreaks count="2" manualBreakCount="2">
    <brk id="41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workbookViewId="0">
      <selection activeCell="F30" sqref="F30"/>
    </sheetView>
  </sheetViews>
  <sheetFormatPr defaultRowHeight="12.75" x14ac:dyDescent="0.2"/>
  <sheetData>
    <row r="2" spans="2:14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 x14ac:dyDescent="0.2">
      <c r="B3" s="17"/>
      <c r="C3" s="17"/>
      <c r="D3" s="17"/>
      <c r="E3" s="17"/>
      <c r="F3" s="18"/>
      <c r="G3" s="17"/>
      <c r="H3" s="19"/>
      <c r="I3" s="17"/>
      <c r="J3" s="17"/>
      <c r="K3" s="19"/>
      <c r="L3" s="17"/>
      <c r="M3" s="17"/>
      <c r="N3" s="17"/>
    </row>
    <row r="4" spans="2:14" x14ac:dyDescent="0.2">
      <c r="B4" s="17"/>
      <c r="C4" s="17"/>
      <c r="D4" s="17"/>
      <c r="E4" s="17"/>
      <c r="F4" s="18"/>
      <c r="G4" s="17"/>
      <c r="H4" s="19"/>
      <c r="I4" s="17"/>
      <c r="J4" s="17"/>
      <c r="K4" s="19"/>
      <c r="L4" s="17"/>
      <c r="M4" s="17"/>
      <c r="N4" s="17"/>
    </row>
    <row r="5" spans="2:14" x14ac:dyDescent="0.2">
      <c r="B5" s="17"/>
      <c r="C5" s="17"/>
      <c r="D5" s="20"/>
      <c r="E5" s="17"/>
      <c r="F5" s="18"/>
      <c r="G5" s="17"/>
      <c r="H5" s="19"/>
      <c r="I5" s="17"/>
      <c r="J5" s="17"/>
      <c r="K5" s="19"/>
      <c r="L5" s="17"/>
      <c r="M5" s="17"/>
      <c r="N5" s="17"/>
    </row>
    <row r="6" spans="2:14" x14ac:dyDescent="0.2">
      <c r="B6" s="17"/>
      <c r="C6" s="17"/>
      <c r="D6" s="17"/>
      <c r="E6" s="17"/>
      <c r="F6" s="18"/>
      <c r="G6" s="17"/>
      <c r="H6" s="19"/>
      <c r="I6" s="17"/>
      <c r="J6" s="17"/>
      <c r="K6" s="19"/>
      <c r="L6" s="17"/>
      <c r="M6" s="17"/>
      <c r="N6" s="17"/>
    </row>
    <row r="7" spans="2:14" x14ac:dyDescent="0.2">
      <c r="B7" s="17"/>
      <c r="C7" s="17"/>
      <c r="D7" s="17"/>
      <c r="E7" s="17"/>
      <c r="F7" s="18"/>
      <c r="G7" s="17"/>
      <c r="H7" s="19"/>
      <c r="I7" s="17"/>
      <c r="J7" s="17"/>
      <c r="K7" s="19"/>
      <c r="L7" s="17"/>
      <c r="M7" s="17"/>
      <c r="N7" s="17"/>
    </row>
    <row r="8" spans="2:14" x14ac:dyDescent="0.2">
      <c r="B8" s="17"/>
      <c r="C8" s="17"/>
      <c r="D8" s="17"/>
      <c r="E8" s="17"/>
      <c r="F8" s="18"/>
      <c r="G8" s="17"/>
      <c r="H8" s="19"/>
      <c r="I8" s="17"/>
      <c r="J8" s="17"/>
      <c r="K8" s="19"/>
      <c r="L8" s="17"/>
      <c r="M8" s="17"/>
      <c r="N8" s="17"/>
    </row>
    <row r="9" spans="2:14" x14ac:dyDescent="0.2">
      <c r="B9" s="17"/>
      <c r="C9" s="17"/>
      <c r="D9" s="17"/>
      <c r="E9" s="17"/>
      <c r="F9" s="18"/>
      <c r="G9" s="17"/>
      <c r="H9" s="19"/>
      <c r="I9" s="17"/>
      <c r="J9" s="17"/>
      <c r="K9" s="19"/>
      <c r="L9" s="17"/>
      <c r="M9" s="17"/>
      <c r="N9" s="17"/>
    </row>
    <row r="10" spans="2:14" x14ac:dyDescent="0.2">
      <c r="B10" s="17"/>
      <c r="C10" s="17"/>
      <c r="D10" s="17"/>
      <c r="E10" s="17"/>
      <c r="F10" s="18"/>
      <c r="G10" s="17"/>
      <c r="H10" s="19"/>
      <c r="I10" s="17"/>
      <c r="J10" s="17"/>
      <c r="K10" s="19"/>
      <c r="L10" s="17"/>
      <c r="M10" s="17"/>
      <c r="N10" s="17"/>
    </row>
    <row r="11" spans="2:14" x14ac:dyDescent="0.2">
      <c r="B11" s="17"/>
      <c r="C11" s="17"/>
      <c r="D11" s="17"/>
      <c r="E11" s="17"/>
      <c r="F11" s="18"/>
      <c r="G11" s="17"/>
      <c r="H11" s="19"/>
      <c r="I11" s="17"/>
      <c r="J11" s="17"/>
      <c r="K11" s="19"/>
      <c r="L11" s="17"/>
      <c r="M11" s="17"/>
      <c r="N11" s="17"/>
    </row>
    <row r="12" spans="2:14" x14ac:dyDescent="0.2">
      <c r="B12" s="17"/>
      <c r="C12" s="17"/>
      <c r="D12" s="17"/>
      <c r="E12" s="17"/>
      <c r="F12" s="18"/>
      <c r="G12" s="17"/>
      <c r="H12" s="19"/>
      <c r="I12" s="17"/>
      <c r="J12" s="17"/>
      <c r="K12" s="19"/>
      <c r="L12" s="17"/>
      <c r="M12" s="17"/>
      <c r="N12" s="17"/>
    </row>
    <row r="13" spans="2:14" x14ac:dyDescent="0.2">
      <c r="B13" s="17"/>
      <c r="C13" s="17"/>
      <c r="D13" s="17"/>
      <c r="E13" s="17"/>
      <c r="F13" s="18"/>
      <c r="G13" s="17"/>
      <c r="H13" s="19"/>
      <c r="I13" s="17"/>
      <c r="J13" s="17"/>
      <c r="K13" s="19"/>
      <c r="L13" s="17"/>
      <c r="M13" s="17"/>
      <c r="N13" s="17"/>
    </row>
    <row r="14" spans="2:14" x14ac:dyDescent="0.2">
      <c r="B14" s="17"/>
      <c r="C14" s="17"/>
      <c r="D14" s="17"/>
      <c r="E14" s="17"/>
      <c r="F14" s="18"/>
      <c r="G14" s="17"/>
      <c r="H14" s="19"/>
      <c r="I14" s="17"/>
      <c r="J14" s="17"/>
      <c r="K14" s="19"/>
      <c r="L14" s="17"/>
      <c r="M14" s="17"/>
      <c r="N14" s="17"/>
    </row>
    <row r="15" spans="2:14" x14ac:dyDescent="0.2">
      <c r="B15" s="17"/>
      <c r="C15" s="17"/>
      <c r="D15" s="17"/>
      <c r="E15" s="17"/>
      <c r="F15" s="18"/>
      <c r="G15" s="17"/>
      <c r="H15" s="19"/>
      <c r="I15" s="17"/>
      <c r="J15" s="17"/>
      <c r="K15" s="19"/>
      <c r="L15" s="17"/>
      <c r="M15" s="17"/>
      <c r="N15" s="17"/>
    </row>
    <row r="16" spans="2:14" x14ac:dyDescent="0.2">
      <c r="B16" s="17"/>
      <c r="C16" s="17"/>
      <c r="D16" s="17"/>
      <c r="E16" s="17"/>
      <c r="F16" s="18"/>
      <c r="G16" s="17"/>
      <c r="H16" s="19"/>
      <c r="I16" s="17"/>
      <c r="J16" s="17"/>
      <c r="K16" s="19"/>
      <c r="L16" s="17"/>
      <c r="M16" s="17"/>
      <c r="N16" s="17"/>
    </row>
    <row r="17" spans="2:14" x14ac:dyDescent="0.2">
      <c r="B17" s="17"/>
      <c r="C17" s="17"/>
      <c r="D17" s="17"/>
      <c r="E17" s="17"/>
      <c r="F17" s="18"/>
      <c r="G17" s="17"/>
      <c r="H17" s="19"/>
      <c r="I17" s="17"/>
      <c r="J17" s="17"/>
      <c r="K17" s="19"/>
      <c r="L17" s="17"/>
      <c r="M17" s="17"/>
      <c r="N17" s="17"/>
    </row>
    <row r="18" spans="2:14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x14ac:dyDescent="0.2">
      <c r="B19" s="17"/>
      <c r="C19" s="17"/>
      <c r="D19" s="17"/>
      <c r="E19" s="17"/>
      <c r="F19" s="19"/>
      <c r="G19" s="17"/>
      <c r="H19" s="17"/>
      <c r="I19" s="17"/>
      <c r="J19" s="17"/>
      <c r="K19" s="17"/>
      <c r="L19" s="17"/>
      <c r="M19" s="17"/>
      <c r="N19" s="17"/>
    </row>
    <row r="20" spans="2:14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x14ac:dyDescent="0.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Инвест.программы</vt:lpstr>
      <vt:lpstr>Лист1</vt:lpstr>
      <vt:lpstr>Инвест.программы!Область_печати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Хицкова Елена Владимировна</dc:creator>
  <cp:lastModifiedBy>Анищенко Людмила Вячеславовна</cp:lastModifiedBy>
  <cp:lastPrinted>2018-11-19T10:20:30Z</cp:lastPrinted>
  <dcterms:created xsi:type="dcterms:W3CDTF">2013-05-31T05:08:49Z</dcterms:created>
  <dcterms:modified xsi:type="dcterms:W3CDTF">2018-11-19T11:48:05Z</dcterms:modified>
</cp:coreProperties>
</file>